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mc:AlternateContent xmlns:mc="http://schemas.openxmlformats.org/markup-compatibility/2006">
    <mc:Choice Requires="x15">
      <x15ac:absPath xmlns:x15ac="http://schemas.microsoft.com/office/spreadsheetml/2010/11/ac" url="M:\Department of Online Education\9 PARTNERS\Grace Schools Charter Authority LLC\1 CHARTER SCHOOLS\5 Charter - Valor Academy\Application Materials\"/>
    </mc:Choice>
  </mc:AlternateContent>
  <xr:revisionPtr revIDLastSave="0" documentId="8_{48418193-BCF7-46F0-B381-9DB7524AEB23}" xr6:coauthVersionLast="36" xr6:coauthVersionMax="36" xr10:uidLastSave="{00000000-0000-0000-0000-000000000000}"/>
  <bookViews>
    <workbookView xWindow="0" yWindow="0" windowWidth="28800" windowHeight="12225" xr2:uid="{00000000-000D-0000-FFFF-FFFF00000000}"/>
  </bookViews>
  <sheets>
    <sheet name="State Funding Assumptions" sheetId="1" r:id="rId1"/>
    <sheet name="Enrollment Projections" sheetId="2" r:id="rId2"/>
    <sheet name="Year 0 - Budget and Cash Flow" sheetId="3" r:id="rId3"/>
    <sheet name="StaffingPlan" sheetId="4" r:id="rId4"/>
    <sheet name="5 Year Budget" sheetId="5" r:id="rId5"/>
  </sheets>
  <calcPr calcId="191029"/>
  <extLst>
    <ext uri="GoogleSheetsCustomDataVersion1">
      <go:sheetsCustomData xmlns:go="http://customooxmlschemas.google.com/" r:id="rId9" roundtripDataSignature="AMtx7mi/qdGBougZh1IFBXK233XXNU30ag=="/>
    </ext>
  </extLst>
</workbook>
</file>

<file path=xl/calcChain.xml><?xml version="1.0" encoding="utf-8"?>
<calcChain xmlns="http://schemas.openxmlformats.org/spreadsheetml/2006/main">
  <c r="G153" i="5" l="1"/>
  <c r="H151" i="5"/>
  <c r="I151" i="5" s="1"/>
  <c r="J151" i="5" s="1"/>
  <c r="K151" i="5" s="1"/>
  <c r="I150" i="5"/>
  <c r="J150" i="5" s="1"/>
  <c r="K150" i="5" s="1"/>
  <c r="H150" i="5"/>
  <c r="J149" i="5"/>
  <c r="K149" i="5" s="1"/>
  <c r="I149" i="5"/>
  <c r="H149" i="5"/>
  <c r="J148" i="5"/>
  <c r="K148" i="5" s="1"/>
  <c r="H148" i="5"/>
  <c r="I148" i="5" s="1"/>
  <c r="H147" i="5"/>
  <c r="I147" i="5" s="1"/>
  <c r="J147" i="5" s="1"/>
  <c r="K147" i="5" s="1"/>
  <c r="I146" i="5"/>
  <c r="J146" i="5" s="1"/>
  <c r="K146" i="5" s="1"/>
  <c r="H146" i="5"/>
  <c r="J145" i="5"/>
  <c r="K145" i="5" s="1"/>
  <c r="I145" i="5"/>
  <c r="H145" i="5"/>
  <c r="H143" i="5"/>
  <c r="H133" i="5"/>
  <c r="G133" i="5"/>
  <c r="I123" i="5"/>
  <c r="J123" i="5" s="1"/>
  <c r="K123" i="5" s="1"/>
  <c r="H123" i="5"/>
  <c r="H118" i="5"/>
  <c r="I118" i="5" s="1"/>
  <c r="K115" i="5"/>
  <c r="J115" i="5"/>
  <c r="I115" i="5"/>
  <c r="H115" i="5"/>
  <c r="G115" i="5"/>
  <c r="K109" i="5"/>
  <c r="J109" i="5"/>
  <c r="I109" i="5"/>
  <c r="H109" i="5"/>
  <c r="G109" i="5"/>
  <c r="K37" i="5"/>
  <c r="J37" i="5"/>
  <c r="I37" i="5"/>
  <c r="H37" i="5"/>
  <c r="G37" i="5"/>
  <c r="W57" i="4"/>
  <c r="O46" i="4"/>
  <c r="Y42" i="4"/>
  <c r="U42" i="4"/>
  <c r="Q42" i="4"/>
  <c r="M42" i="4"/>
  <c r="I42" i="4"/>
  <c r="G42" i="4"/>
  <c r="E42" i="4"/>
  <c r="O41" i="4"/>
  <c r="N41" i="4"/>
  <c r="R41" i="4" s="1"/>
  <c r="S41" i="4" s="1"/>
  <c r="K41" i="4"/>
  <c r="G41" i="4"/>
  <c r="W40" i="4"/>
  <c r="S40" i="4"/>
  <c r="O40" i="4"/>
  <c r="N40" i="4"/>
  <c r="R40" i="4" s="1"/>
  <c r="V40" i="4" s="1"/>
  <c r="Z40" i="4" s="1"/>
  <c r="AA40" i="4" s="1"/>
  <c r="K40" i="4"/>
  <c r="G40" i="4"/>
  <c r="S39" i="4"/>
  <c r="O39" i="4"/>
  <c r="N39" i="4"/>
  <c r="R39" i="4" s="1"/>
  <c r="V39" i="4" s="1"/>
  <c r="Z39" i="4" s="1"/>
  <c r="AA39" i="4" s="1"/>
  <c r="K39" i="4"/>
  <c r="G39" i="4"/>
  <c r="O38" i="4"/>
  <c r="N38" i="4"/>
  <c r="R38" i="4" s="1"/>
  <c r="V38" i="4" s="1"/>
  <c r="Z38" i="4" s="1"/>
  <c r="AA38" i="4" s="1"/>
  <c r="K38" i="4"/>
  <c r="G38" i="4"/>
  <c r="W37" i="4"/>
  <c r="O37" i="4"/>
  <c r="N37" i="4"/>
  <c r="R37" i="4" s="1"/>
  <c r="V37" i="4" s="1"/>
  <c r="Z37" i="4" s="1"/>
  <c r="AA37" i="4" s="1"/>
  <c r="K37" i="4"/>
  <c r="G37" i="4"/>
  <c r="W36" i="4"/>
  <c r="S36" i="4"/>
  <c r="O36" i="4"/>
  <c r="N36" i="4"/>
  <c r="R36" i="4" s="1"/>
  <c r="V36" i="4" s="1"/>
  <c r="Z36" i="4" s="1"/>
  <c r="AA36" i="4" s="1"/>
  <c r="K36" i="4"/>
  <c r="G36" i="4"/>
  <c r="S35" i="4"/>
  <c r="O35" i="4"/>
  <c r="N35" i="4"/>
  <c r="R35" i="4" s="1"/>
  <c r="V35" i="4" s="1"/>
  <c r="Z35" i="4" s="1"/>
  <c r="AA35" i="4" s="1"/>
  <c r="K35" i="4"/>
  <c r="G35" i="4"/>
  <c r="O34" i="4"/>
  <c r="N34" i="4"/>
  <c r="R34" i="4" s="1"/>
  <c r="V34" i="4" s="1"/>
  <c r="Z34" i="4" s="1"/>
  <c r="AA34" i="4" s="1"/>
  <c r="K34" i="4"/>
  <c r="G34" i="4"/>
  <c r="W33" i="4"/>
  <c r="S33" i="4"/>
  <c r="O33" i="4"/>
  <c r="N33" i="4"/>
  <c r="R33" i="4" s="1"/>
  <c r="V33" i="4" s="1"/>
  <c r="Z33" i="4" s="1"/>
  <c r="AA33" i="4" s="1"/>
  <c r="K33" i="4"/>
  <c r="G33" i="4"/>
  <c r="W32" i="4"/>
  <c r="S32" i="4"/>
  <c r="O32" i="4"/>
  <c r="N32" i="4"/>
  <c r="R32" i="4" s="1"/>
  <c r="V32" i="4" s="1"/>
  <c r="Z32" i="4" s="1"/>
  <c r="AA32" i="4" s="1"/>
  <c r="K32" i="4"/>
  <c r="G32" i="4"/>
  <c r="O31" i="4"/>
  <c r="N31" i="4"/>
  <c r="R31" i="4" s="1"/>
  <c r="V31" i="4" s="1"/>
  <c r="Z31" i="4" s="1"/>
  <c r="AA31" i="4" s="1"/>
  <c r="K31" i="4"/>
  <c r="G31" i="4"/>
  <c r="O30" i="4"/>
  <c r="N30" i="4"/>
  <c r="R30" i="4" s="1"/>
  <c r="V30" i="4" s="1"/>
  <c r="Z30" i="4" s="1"/>
  <c r="AA30" i="4" s="1"/>
  <c r="K30" i="4"/>
  <c r="G30" i="4"/>
  <c r="W29" i="4"/>
  <c r="J56" i="5" s="1"/>
  <c r="S29" i="4"/>
  <c r="I56" i="5" s="1"/>
  <c r="O29" i="4"/>
  <c r="H56" i="5" s="1"/>
  <c r="N29" i="4"/>
  <c r="R29" i="4" s="1"/>
  <c r="V29" i="4" s="1"/>
  <c r="Z29" i="4" s="1"/>
  <c r="AA29" i="4" s="1"/>
  <c r="K56" i="5" s="1"/>
  <c r="K29" i="4"/>
  <c r="G56" i="5" s="1"/>
  <c r="G29" i="4"/>
  <c r="W28" i="4"/>
  <c r="S28" i="4"/>
  <c r="O28" i="4"/>
  <c r="N28" i="4"/>
  <c r="R28" i="4" s="1"/>
  <c r="V28" i="4" s="1"/>
  <c r="Z28" i="4" s="1"/>
  <c r="AA28" i="4" s="1"/>
  <c r="K28" i="4"/>
  <c r="G28" i="4"/>
  <c r="O27" i="4"/>
  <c r="N27" i="4"/>
  <c r="R27" i="4" s="1"/>
  <c r="V27" i="4" s="1"/>
  <c r="Z27" i="4" s="1"/>
  <c r="AA27" i="4" s="1"/>
  <c r="K27" i="4"/>
  <c r="G27" i="4"/>
  <c r="Y24" i="4"/>
  <c r="AA46" i="4" s="1"/>
  <c r="K85" i="5" s="1"/>
  <c r="U24" i="4"/>
  <c r="W46" i="4" s="1"/>
  <c r="Q24" i="4"/>
  <c r="S57" i="4" s="1"/>
  <c r="M24" i="4"/>
  <c r="O57" i="4" s="1"/>
  <c r="I24" i="4"/>
  <c r="K46" i="4" s="1"/>
  <c r="G85" i="5" s="1"/>
  <c r="G24" i="4"/>
  <c r="G58" i="4" s="1"/>
  <c r="E24" i="4"/>
  <c r="G46" i="4" s="1"/>
  <c r="O23" i="4"/>
  <c r="N23" i="4"/>
  <c r="R23" i="4" s="1"/>
  <c r="V23" i="4" s="1"/>
  <c r="Z23" i="4" s="1"/>
  <c r="AA23" i="4" s="1"/>
  <c r="K23" i="4"/>
  <c r="G23" i="4"/>
  <c r="W22" i="4"/>
  <c r="S22" i="4"/>
  <c r="O22" i="4"/>
  <c r="N22" i="4"/>
  <c r="R22" i="4" s="1"/>
  <c r="V22" i="4" s="1"/>
  <c r="Z22" i="4" s="1"/>
  <c r="AA22" i="4" s="1"/>
  <c r="K22" i="4"/>
  <c r="G22" i="4"/>
  <c r="W21" i="4"/>
  <c r="S21" i="4"/>
  <c r="O21" i="4"/>
  <c r="N21" i="4"/>
  <c r="R21" i="4" s="1"/>
  <c r="V21" i="4" s="1"/>
  <c r="Z21" i="4" s="1"/>
  <c r="AA21" i="4" s="1"/>
  <c r="K21" i="4"/>
  <c r="G21" i="4"/>
  <c r="O20" i="4"/>
  <c r="N20" i="4"/>
  <c r="R20" i="4" s="1"/>
  <c r="V20" i="4" s="1"/>
  <c r="Z20" i="4" s="1"/>
  <c r="AA20" i="4" s="1"/>
  <c r="K20" i="4"/>
  <c r="G20" i="4"/>
  <c r="O19" i="4"/>
  <c r="N19" i="4"/>
  <c r="R19" i="4" s="1"/>
  <c r="V19" i="4" s="1"/>
  <c r="Z19" i="4" s="1"/>
  <c r="AA19" i="4" s="1"/>
  <c r="K19" i="4"/>
  <c r="G19" i="4"/>
  <c r="W18" i="4"/>
  <c r="S18" i="4"/>
  <c r="O18" i="4"/>
  <c r="N18" i="4"/>
  <c r="R18" i="4" s="1"/>
  <c r="V18" i="4" s="1"/>
  <c r="Z18" i="4" s="1"/>
  <c r="AA18" i="4" s="1"/>
  <c r="K18" i="4"/>
  <c r="G18" i="4"/>
  <c r="W17" i="4"/>
  <c r="S17" i="4"/>
  <c r="O17" i="4"/>
  <c r="N17" i="4"/>
  <c r="R17" i="4" s="1"/>
  <c r="V17" i="4" s="1"/>
  <c r="Z17" i="4" s="1"/>
  <c r="AA17" i="4" s="1"/>
  <c r="K17" i="4"/>
  <c r="G17" i="4"/>
  <c r="O16" i="4"/>
  <c r="N16" i="4"/>
  <c r="R16" i="4" s="1"/>
  <c r="V16" i="4" s="1"/>
  <c r="Z16" i="4" s="1"/>
  <c r="AA16" i="4" s="1"/>
  <c r="K16" i="4"/>
  <c r="G16" i="4"/>
  <c r="O15" i="4"/>
  <c r="N15" i="4"/>
  <c r="R15" i="4" s="1"/>
  <c r="V15" i="4" s="1"/>
  <c r="Z15" i="4" s="1"/>
  <c r="AA15" i="4" s="1"/>
  <c r="K15" i="4"/>
  <c r="G15" i="4"/>
  <c r="W14" i="4"/>
  <c r="J62" i="5" s="1"/>
  <c r="S14" i="4"/>
  <c r="I62" i="5" s="1"/>
  <c r="O14" i="4"/>
  <c r="H62" i="5" s="1"/>
  <c r="N14" i="4"/>
  <c r="R14" i="4" s="1"/>
  <c r="V14" i="4" s="1"/>
  <c r="Z14" i="4" s="1"/>
  <c r="AA14" i="4" s="1"/>
  <c r="K62" i="5" s="1"/>
  <c r="K14" i="4"/>
  <c r="G62" i="5" s="1"/>
  <c r="G14" i="4"/>
  <c r="W13" i="4"/>
  <c r="S13" i="4"/>
  <c r="O13" i="4"/>
  <c r="N13" i="4"/>
  <c r="R13" i="4" s="1"/>
  <c r="V13" i="4" s="1"/>
  <c r="Z13" i="4" s="1"/>
  <c r="AA13" i="4" s="1"/>
  <c r="K13" i="4"/>
  <c r="G13" i="4"/>
  <c r="O12" i="4"/>
  <c r="N12" i="4"/>
  <c r="R12" i="4" s="1"/>
  <c r="V12" i="4" s="1"/>
  <c r="Z12" i="4" s="1"/>
  <c r="AA12" i="4" s="1"/>
  <c r="K12" i="4"/>
  <c r="G12" i="4"/>
  <c r="O11" i="4"/>
  <c r="N11" i="4"/>
  <c r="R11" i="4" s="1"/>
  <c r="V11" i="4" s="1"/>
  <c r="Z11" i="4" s="1"/>
  <c r="AA11" i="4" s="1"/>
  <c r="K11" i="4"/>
  <c r="G11" i="4"/>
  <c r="W10" i="4"/>
  <c r="S10" i="4"/>
  <c r="O10" i="4"/>
  <c r="N10" i="4"/>
  <c r="R10" i="4" s="1"/>
  <c r="V10" i="4" s="1"/>
  <c r="Z10" i="4" s="1"/>
  <c r="AA10" i="4" s="1"/>
  <c r="K10" i="4"/>
  <c r="G10" i="4"/>
  <c r="S9" i="4"/>
  <c r="R9" i="4"/>
  <c r="V9" i="4" s="1"/>
  <c r="Z9" i="4" s="1"/>
  <c r="AA9" i="4" s="1"/>
  <c r="AA24" i="4" s="1"/>
  <c r="O9" i="4"/>
  <c r="O24" i="4" s="1"/>
  <c r="N9" i="4"/>
  <c r="K9" i="4"/>
  <c r="K24" i="4" s="1"/>
  <c r="G9" i="4"/>
  <c r="Q99" i="3"/>
  <c r="P99" i="3"/>
  <c r="P101" i="3" s="1"/>
  <c r="O99" i="3"/>
  <c r="O101" i="3" s="1"/>
  <c r="N99" i="3"/>
  <c r="M99" i="3"/>
  <c r="L99" i="3"/>
  <c r="L101" i="3" s="1"/>
  <c r="K99" i="3"/>
  <c r="K101" i="3" s="1"/>
  <c r="J99" i="3"/>
  <c r="I99" i="3"/>
  <c r="H99" i="3"/>
  <c r="H101" i="3" s="1"/>
  <c r="G99" i="3"/>
  <c r="G101" i="3" s="1"/>
  <c r="F99" i="3"/>
  <c r="R99" i="3" s="1"/>
  <c r="R97" i="3"/>
  <c r="R96" i="3"/>
  <c r="F158" i="5" s="1"/>
  <c r="R95" i="3"/>
  <c r="F157" i="5" s="1"/>
  <c r="Q92" i="3"/>
  <c r="P92" i="3"/>
  <c r="O92" i="3"/>
  <c r="N92" i="3"/>
  <c r="M92" i="3"/>
  <c r="L92" i="3"/>
  <c r="K92" i="3"/>
  <c r="J92" i="3"/>
  <c r="I92" i="3"/>
  <c r="H92" i="3"/>
  <c r="G92" i="3"/>
  <c r="F92" i="3"/>
  <c r="R92" i="3" s="1"/>
  <c r="R90" i="3"/>
  <c r="F151" i="5" s="1"/>
  <c r="R89" i="3"/>
  <c r="F150" i="5" s="1"/>
  <c r="R88" i="3"/>
  <c r="F149" i="5" s="1"/>
  <c r="R87" i="3"/>
  <c r="F148" i="5" s="1"/>
  <c r="R86" i="3"/>
  <c r="F147" i="5" s="1"/>
  <c r="R85" i="3"/>
  <c r="F146" i="5" s="1"/>
  <c r="R84" i="3"/>
  <c r="F145" i="5" s="1"/>
  <c r="R83" i="3"/>
  <c r="F144" i="5" s="1"/>
  <c r="R82" i="3"/>
  <c r="F143" i="5" s="1"/>
  <c r="R81" i="3"/>
  <c r="F142" i="5" s="1"/>
  <c r="R80" i="3"/>
  <c r="F141" i="5" s="1"/>
  <c r="R79" i="3"/>
  <c r="F140" i="5" s="1"/>
  <c r="R78" i="3"/>
  <c r="F139" i="5" s="1"/>
  <c r="R77" i="3"/>
  <c r="F138" i="5" s="1"/>
  <c r="R76" i="3"/>
  <c r="F137" i="5" s="1"/>
  <c r="R75" i="3"/>
  <c r="F136" i="5" s="1"/>
  <c r="F153" i="5" s="1"/>
  <c r="Q72" i="3"/>
  <c r="Q101" i="3" s="1"/>
  <c r="P72" i="3"/>
  <c r="O72" i="3"/>
  <c r="N72" i="3"/>
  <c r="M72" i="3"/>
  <c r="M101" i="3" s="1"/>
  <c r="L72" i="3"/>
  <c r="K72" i="3"/>
  <c r="J72" i="3"/>
  <c r="I72" i="3"/>
  <c r="H72" i="3"/>
  <c r="G72" i="3"/>
  <c r="F72" i="3"/>
  <c r="R72" i="3" s="1"/>
  <c r="R70" i="3"/>
  <c r="F131" i="5" s="1"/>
  <c r="R69" i="3"/>
  <c r="F130" i="5" s="1"/>
  <c r="R68" i="3"/>
  <c r="F129" i="5" s="1"/>
  <c r="R67" i="3"/>
  <c r="F128" i="5" s="1"/>
  <c r="R66" i="3"/>
  <c r="F127" i="5" s="1"/>
  <c r="R65" i="3"/>
  <c r="F126" i="5" s="1"/>
  <c r="R64" i="3"/>
  <c r="F125" i="5" s="1"/>
  <c r="R63" i="3"/>
  <c r="F124" i="5" s="1"/>
  <c r="R62" i="3"/>
  <c r="F123" i="5" s="1"/>
  <c r="R61" i="3"/>
  <c r="F122" i="5" s="1"/>
  <c r="R60" i="3"/>
  <c r="F121" i="5" s="1"/>
  <c r="R59" i="3"/>
  <c r="F120" i="5" s="1"/>
  <c r="R58" i="3"/>
  <c r="F119" i="5" s="1"/>
  <c r="R57" i="3"/>
  <c r="F118" i="5" s="1"/>
  <c r="K54" i="3"/>
  <c r="J54" i="3"/>
  <c r="I54" i="3"/>
  <c r="I101" i="3" s="1"/>
  <c r="H54" i="3"/>
  <c r="R54" i="3" s="1"/>
  <c r="G54" i="3"/>
  <c r="F54" i="3"/>
  <c r="R52" i="3"/>
  <c r="F113" i="5" s="1"/>
  <c r="R51" i="3"/>
  <c r="F112" i="5" s="1"/>
  <c r="Q48" i="3"/>
  <c r="P48" i="3"/>
  <c r="O48" i="3"/>
  <c r="N48" i="3"/>
  <c r="M48" i="3"/>
  <c r="L48" i="3"/>
  <c r="K48" i="3"/>
  <c r="J48" i="3"/>
  <c r="I48" i="3"/>
  <c r="H48" i="3"/>
  <c r="G48" i="3"/>
  <c r="F48" i="3"/>
  <c r="R48" i="3" s="1"/>
  <c r="R46" i="3"/>
  <c r="F107" i="5" s="1"/>
  <c r="R45" i="3"/>
  <c r="F106" i="5" s="1"/>
  <c r="F109" i="5" s="1"/>
  <c r="Q42" i="3"/>
  <c r="P42" i="3"/>
  <c r="O42" i="3"/>
  <c r="N42" i="3"/>
  <c r="N11" i="3" s="1"/>
  <c r="N14" i="3" s="1"/>
  <c r="M42" i="3"/>
  <c r="L42" i="3"/>
  <c r="K42" i="3"/>
  <c r="J42" i="3"/>
  <c r="J11" i="3" s="1"/>
  <c r="J14" i="3" s="1"/>
  <c r="I42" i="3"/>
  <c r="H42" i="3"/>
  <c r="G42" i="3"/>
  <c r="F42" i="3"/>
  <c r="R42" i="3" s="1"/>
  <c r="R40" i="3"/>
  <c r="F101" i="5" s="1"/>
  <c r="R39" i="3"/>
  <c r="F100" i="5" s="1"/>
  <c r="R38" i="3"/>
  <c r="F99" i="5" s="1"/>
  <c r="R37" i="3"/>
  <c r="F98" i="5" s="1"/>
  <c r="R36" i="3"/>
  <c r="F97" i="5" s="1"/>
  <c r="R35" i="3"/>
  <c r="F96" i="5" s="1"/>
  <c r="R34" i="3"/>
  <c r="F95" i="5" s="1"/>
  <c r="R33" i="3"/>
  <c r="F94" i="5" s="1"/>
  <c r="Q30" i="3"/>
  <c r="P30" i="3"/>
  <c r="O30" i="3"/>
  <c r="N30" i="3"/>
  <c r="M30" i="3"/>
  <c r="L30" i="3"/>
  <c r="K30" i="3"/>
  <c r="R30" i="3" s="1"/>
  <c r="R28" i="3"/>
  <c r="F89" i="5" s="1"/>
  <c r="F91" i="5" s="1"/>
  <c r="Q21" i="3"/>
  <c r="Q23" i="3" s="1"/>
  <c r="Q103" i="3" s="1"/>
  <c r="P21" i="3"/>
  <c r="O21" i="3"/>
  <c r="N21" i="3"/>
  <c r="N23" i="3" s="1"/>
  <c r="M21" i="3"/>
  <c r="M23" i="3" s="1"/>
  <c r="M103" i="3" s="1"/>
  <c r="L21" i="3"/>
  <c r="K21" i="3"/>
  <c r="J21" i="3"/>
  <c r="J23" i="3" s="1"/>
  <c r="I21" i="3"/>
  <c r="H21" i="3"/>
  <c r="G21" i="3"/>
  <c r="G23" i="3" s="1"/>
  <c r="G103" i="3" s="1"/>
  <c r="F21" i="3"/>
  <c r="R21" i="3" s="1"/>
  <c r="R19" i="3"/>
  <c r="R18" i="3"/>
  <c r="R17" i="3"/>
  <c r="F40" i="5" s="1"/>
  <c r="F46" i="5" s="1"/>
  <c r="Q14" i="3"/>
  <c r="M14" i="3"/>
  <c r="R12" i="3"/>
  <c r="Q11" i="3"/>
  <c r="P11" i="3"/>
  <c r="P14" i="3" s="1"/>
  <c r="P23" i="3" s="1"/>
  <c r="P103" i="3" s="1"/>
  <c r="O11" i="3"/>
  <c r="O14" i="3" s="1"/>
  <c r="M11" i="3"/>
  <c r="L11" i="3"/>
  <c r="L14" i="3" s="1"/>
  <c r="L23" i="3" s="1"/>
  <c r="L103" i="3" s="1"/>
  <c r="K11" i="3"/>
  <c r="K14" i="3" s="1"/>
  <c r="H11" i="3"/>
  <c r="H14" i="3" s="1"/>
  <c r="H23" i="3" s="1"/>
  <c r="H103" i="3" s="1"/>
  <c r="G11" i="3"/>
  <c r="G14" i="3" s="1"/>
  <c r="H27" i="2"/>
  <c r="G27" i="2"/>
  <c r="F27" i="2"/>
  <c r="I7" i="5" s="1"/>
  <c r="E27" i="2"/>
  <c r="D27" i="2"/>
  <c r="I36" i="1"/>
  <c r="E36" i="1"/>
  <c r="F36" i="1" s="1"/>
  <c r="G36" i="1" s="1"/>
  <c r="H36" i="1" s="1"/>
  <c r="F35" i="1"/>
  <c r="G35" i="1" s="1"/>
  <c r="H35" i="1" s="1"/>
  <c r="E35" i="1"/>
  <c r="G34" i="1"/>
  <c r="H34" i="1" s="1"/>
  <c r="I34" i="1" s="1"/>
  <c r="E34" i="1"/>
  <c r="F34" i="1" s="1"/>
  <c r="D29" i="1"/>
  <c r="E29" i="1" s="1"/>
  <c r="F29" i="1" s="1"/>
  <c r="G29" i="1" s="1"/>
  <c r="H29" i="1" s="1"/>
  <c r="I29" i="1" s="1"/>
  <c r="D27" i="1"/>
  <c r="D26" i="1"/>
  <c r="E26" i="1" s="1"/>
  <c r="D25" i="1"/>
  <c r="E25" i="1" s="1"/>
  <c r="F25" i="1" s="1"/>
  <c r="G25" i="1" s="1"/>
  <c r="H25" i="1" s="1"/>
  <c r="I25" i="1" s="1"/>
  <c r="H24" i="1"/>
  <c r="I24" i="1" s="1"/>
  <c r="E24" i="1"/>
  <c r="F24" i="1" s="1"/>
  <c r="G24" i="1" s="1"/>
  <c r="D24" i="1"/>
  <c r="D22" i="1"/>
  <c r="D23" i="1" s="1"/>
  <c r="D21" i="1"/>
  <c r="E21" i="1" s="1"/>
  <c r="F21" i="1" s="1"/>
  <c r="G21" i="1" s="1"/>
  <c r="H21" i="1" s="1"/>
  <c r="I21" i="1" s="1"/>
  <c r="D6" i="1"/>
  <c r="H13" i="5" s="1"/>
  <c r="C6" i="1"/>
  <c r="G13" i="5" s="1"/>
  <c r="E22" i="1" l="1"/>
  <c r="I35" i="1"/>
  <c r="G6" i="1" s="1"/>
  <c r="K13" i="5" s="1"/>
  <c r="F6" i="1"/>
  <c r="J13" i="5" s="1"/>
  <c r="E6" i="1"/>
  <c r="I13" i="5" s="1"/>
  <c r="I97" i="5"/>
  <c r="I94" i="5"/>
  <c r="I16" i="5"/>
  <c r="I101" i="5"/>
  <c r="H61" i="5"/>
  <c r="H66" i="5" s="1"/>
  <c r="F26" i="1"/>
  <c r="W61" i="4"/>
  <c r="W62" i="4"/>
  <c r="J7" i="5"/>
  <c r="K61" i="5"/>
  <c r="K66" i="5" s="1"/>
  <c r="G61" i="5"/>
  <c r="G66" i="5" s="1"/>
  <c r="K54" i="5"/>
  <c r="K58" i="5" s="1"/>
  <c r="K23" i="3"/>
  <c r="K103" i="3" s="1"/>
  <c r="O23" i="3"/>
  <c r="O103" i="3" s="1"/>
  <c r="G7" i="5"/>
  <c r="K61" i="4"/>
  <c r="K62" i="4"/>
  <c r="F133" i="5"/>
  <c r="F101" i="3"/>
  <c r="J101" i="3"/>
  <c r="J103" i="3" s="1"/>
  <c r="N101" i="3"/>
  <c r="N103" i="3" s="1"/>
  <c r="H54" i="5"/>
  <c r="H58" i="5" s="1"/>
  <c r="O42" i="4"/>
  <c r="H71" i="5" s="1"/>
  <c r="H79" i="5" s="1"/>
  <c r="H81" i="5" s="1"/>
  <c r="H85" i="5"/>
  <c r="H7" i="5"/>
  <c r="O62" i="4"/>
  <c r="O61" i="4"/>
  <c r="I11" i="3"/>
  <c r="I14" i="3" s="1"/>
  <c r="I23" i="3" s="1"/>
  <c r="I103" i="3" s="1"/>
  <c r="F162" i="5"/>
  <c r="W9" i="4"/>
  <c r="S12" i="4"/>
  <c r="S16" i="4"/>
  <c r="S20" i="4"/>
  <c r="S27" i="4"/>
  <c r="S31" i="4"/>
  <c r="K7" i="5"/>
  <c r="AA62" i="4"/>
  <c r="S62" i="4"/>
  <c r="S61" i="4"/>
  <c r="F11" i="3"/>
  <c r="S11" i="4"/>
  <c r="S24" i="4" s="1"/>
  <c r="W12" i="4"/>
  <c r="S15" i="4"/>
  <c r="W16" i="4"/>
  <c r="S19" i="4"/>
  <c r="W20" i="4"/>
  <c r="S23" i="4"/>
  <c r="K42" i="4"/>
  <c r="K58" i="4" s="1"/>
  <c r="G54" i="5"/>
  <c r="G58" i="5" s="1"/>
  <c r="W27" i="4"/>
  <c r="S30" i="4"/>
  <c r="W31" i="4"/>
  <c r="S34" i="4"/>
  <c r="W35" i="4"/>
  <c r="S38" i="4"/>
  <c r="W39" i="4"/>
  <c r="F103" i="5"/>
  <c r="F115" i="5"/>
  <c r="W11" i="4"/>
  <c r="W15" i="4"/>
  <c r="W19" i="4"/>
  <c r="W23" i="4"/>
  <c r="W30" i="4"/>
  <c r="W34" i="4"/>
  <c r="S37" i="4"/>
  <c r="W38" i="4"/>
  <c r="V41" i="4"/>
  <c r="G43" i="4"/>
  <c r="AA61" i="4"/>
  <c r="S46" i="4"/>
  <c r="AA57" i="4"/>
  <c r="J85" i="5"/>
  <c r="H153" i="5"/>
  <c r="I143" i="5"/>
  <c r="G57" i="4"/>
  <c r="I133" i="5"/>
  <c r="K57" i="4"/>
  <c r="J118" i="5"/>
  <c r="I61" i="5" l="1"/>
  <c r="I66" i="5" s="1"/>
  <c r="J143" i="5"/>
  <c r="I153" i="5"/>
  <c r="Z41" i="4"/>
  <c r="AA41" i="4" s="1"/>
  <c r="AA42" i="4" s="1"/>
  <c r="W41" i="4"/>
  <c r="R11" i="3"/>
  <c r="F28" i="5" s="1"/>
  <c r="F37" i="5" s="1"/>
  <c r="F48" i="5" s="1"/>
  <c r="F14" i="3"/>
  <c r="W24" i="4"/>
  <c r="O58" i="4"/>
  <c r="I85" i="5"/>
  <c r="J54" i="5"/>
  <c r="J58" i="5" s="1"/>
  <c r="W42" i="4"/>
  <c r="K101" i="5"/>
  <c r="K97" i="5"/>
  <c r="K94" i="5"/>
  <c r="K16" i="5"/>
  <c r="F164" i="5"/>
  <c r="K43" i="4"/>
  <c r="I103" i="5"/>
  <c r="I41" i="5"/>
  <c r="I46" i="5" s="1"/>
  <c r="R101" i="3"/>
  <c r="G101" i="5"/>
  <c r="G97" i="5"/>
  <c r="G94" i="5"/>
  <c r="G16" i="5"/>
  <c r="J101" i="5"/>
  <c r="J16" i="5"/>
  <c r="J97" i="5"/>
  <c r="J94" i="5"/>
  <c r="G26" i="1"/>
  <c r="O43" i="4"/>
  <c r="E23" i="1"/>
  <c r="F22" i="1"/>
  <c r="J133" i="5"/>
  <c r="K118" i="5"/>
  <c r="K133" i="5" s="1"/>
  <c r="G50" i="4"/>
  <c r="G48" i="4"/>
  <c r="G47" i="4"/>
  <c r="G49" i="4"/>
  <c r="G71" i="5"/>
  <c r="G79" i="5" s="1"/>
  <c r="G81" i="5" s="1"/>
  <c r="S42" i="4"/>
  <c r="S58" i="4" s="1"/>
  <c r="I54" i="5"/>
  <c r="I58" i="5" s="1"/>
  <c r="H101" i="5"/>
  <c r="H97" i="5"/>
  <c r="H94" i="5"/>
  <c r="H16" i="5"/>
  <c r="F166" i="5" l="1"/>
  <c r="J153" i="5"/>
  <c r="K143" i="5"/>
  <c r="K153" i="5" s="1"/>
  <c r="O49" i="4"/>
  <c r="O47" i="4"/>
  <c r="O48" i="4"/>
  <c r="O50" i="4"/>
  <c r="G41" i="5"/>
  <c r="G46" i="5" s="1"/>
  <c r="G103" i="5"/>
  <c r="J71" i="5"/>
  <c r="J79" i="5" s="1"/>
  <c r="C5" i="1"/>
  <c r="E27" i="1"/>
  <c r="K41" i="5"/>
  <c r="K46" i="5" s="1"/>
  <c r="K103" i="5"/>
  <c r="J61" i="5"/>
  <c r="J66" i="5" s="1"/>
  <c r="W58" i="4"/>
  <c r="W43" i="4"/>
  <c r="K71" i="5"/>
  <c r="K79" i="5" s="1"/>
  <c r="K81" i="5" s="1"/>
  <c r="AA58" i="4"/>
  <c r="AA43" i="4"/>
  <c r="J103" i="5"/>
  <c r="J41" i="5"/>
  <c r="J46" i="5" s="1"/>
  <c r="G59" i="4"/>
  <c r="G60" i="4" s="1"/>
  <c r="H103" i="5"/>
  <c r="H41" i="5"/>
  <c r="H46" i="5" s="1"/>
  <c r="I71" i="5"/>
  <c r="I79" i="5" s="1"/>
  <c r="I81" i="5" s="1"/>
  <c r="G22" i="1"/>
  <c r="F23" i="1"/>
  <c r="H26" i="1"/>
  <c r="K50" i="4"/>
  <c r="K48" i="4"/>
  <c r="K47" i="4"/>
  <c r="K49" i="4"/>
  <c r="R14" i="3"/>
  <c r="F23" i="3"/>
  <c r="S43" i="4"/>
  <c r="G12" i="5" l="1"/>
  <c r="C8" i="1"/>
  <c r="C9" i="1"/>
  <c r="D35" i="2"/>
  <c r="G23" i="1"/>
  <c r="H22" i="1"/>
  <c r="I26" i="1"/>
  <c r="J81" i="5"/>
  <c r="G86" i="5"/>
  <c r="K59" i="4"/>
  <c r="K60" i="4" s="1"/>
  <c r="W50" i="4"/>
  <c r="W48" i="4"/>
  <c r="J84" i="5" s="1"/>
  <c r="W49" i="4"/>
  <c r="W47" i="4"/>
  <c r="H84" i="5"/>
  <c r="H89" i="5" s="1"/>
  <c r="H91" i="5" s="1"/>
  <c r="S49" i="4"/>
  <c r="S47" i="4"/>
  <c r="S48" i="4"/>
  <c r="S50" i="4"/>
  <c r="F103" i="3"/>
  <c r="R23" i="3"/>
  <c r="G84" i="5"/>
  <c r="D5" i="1"/>
  <c r="F27" i="1"/>
  <c r="AA50" i="4"/>
  <c r="AA48" i="4"/>
  <c r="AA49" i="4"/>
  <c r="AA47" i="4"/>
  <c r="H86" i="5"/>
  <c r="O59" i="4"/>
  <c r="O60" i="4" s="1"/>
  <c r="H12" i="5" l="1"/>
  <c r="D9" i="1"/>
  <c r="D8" i="1"/>
  <c r="E35" i="2"/>
  <c r="K84" i="5"/>
  <c r="H23" i="1"/>
  <c r="I22" i="1"/>
  <c r="I23" i="1" s="1"/>
  <c r="G5" i="1" s="1"/>
  <c r="I84" i="5"/>
  <c r="I89" i="5" s="1"/>
  <c r="I91" i="5" s="1"/>
  <c r="I86" i="5"/>
  <c r="S59" i="4"/>
  <c r="S60" i="4" s="1"/>
  <c r="J86" i="5"/>
  <c r="J89" i="5" s="1"/>
  <c r="J91" i="5" s="1"/>
  <c r="W59" i="4"/>
  <c r="W60" i="4" s="1"/>
  <c r="E5" i="1"/>
  <c r="G27" i="1"/>
  <c r="G89" i="5"/>
  <c r="G91" i="5" s="1"/>
  <c r="K86" i="5"/>
  <c r="AA59" i="4"/>
  <c r="AA60" i="4" s="1"/>
  <c r="R103" i="3"/>
  <c r="F104" i="3"/>
  <c r="G104" i="3" s="1"/>
  <c r="H104" i="3" s="1"/>
  <c r="I104" i="3" s="1"/>
  <c r="J104" i="3" s="1"/>
  <c r="K104" i="3" s="1"/>
  <c r="L104" i="3" s="1"/>
  <c r="M104" i="3" s="1"/>
  <c r="N104" i="3" s="1"/>
  <c r="O104" i="3" s="1"/>
  <c r="P104" i="3" s="1"/>
  <c r="Q104" i="3" s="1"/>
  <c r="R104" i="3" s="1"/>
  <c r="I27" i="1"/>
  <c r="G156" i="5"/>
  <c r="G162" i="5" s="1"/>
  <c r="G25" i="5"/>
  <c r="G48" i="5" s="1"/>
  <c r="K12" i="5" l="1"/>
  <c r="G9" i="1"/>
  <c r="G8" i="1"/>
  <c r="H35" i="2"/>
  <c r="G164" i="5"/>
  <c r="G166" i="5" s="1"/>
  <c r="I12" i="5"/>
  <c r="E9" i="1"/>
  <c r="E8" i="1"/>
  <c r="F35" i="2"/>
  <c r="F5" i="1"/>
  <c r="H27" i="1"/>
  <c r="K89" i="5"/>
  <c r="K91" i="5" s="1"/>
  <c r="H25" i="5"/>
  <c r="H48" i="5" s="1"/>
  <c r="H156" i="5"/>
  <c r="H162" i="5" s="1"/>
  <c r="H164" i="5" s="1"/>
  <c r="I25" i="5" l="1"/>
  <c r="I48" i="5" s="1"/>
  <c r="I156" i="5"/>
  <c r="I162" i="5" s="1"/>
  <c r="I164" i="5" s="1"/>
  <c r="J12" i="5"/>
  <c r="F8" i="1"/>
  <c r="F9" i="1"/>
  <c r="G35" i="2"/>
  <c r="H166" i="5"/>
  <c r="K156" i="5"/>
  <c r="K162" i="5" s="1"/>
  <c r="K164" i="5" s="1"/>
  <c r="K25" i="5"/>
  <c r="K48" i="5" s="1"/>
  <c r="J156" i="5" l="1"/>
  <c r="J162" i="5" s="1"/>
  <c r="J164" i="5" s="1"/>
  <c r="J25" i="5"/>
  <c r="J48" i="5" s="1"/>
  <c r="J166" i="5" s="1"/>
  <c r="K166" i="5"/>
  <c r="I166" i="5"/>
</calcChain>
</file>

<file path=xl/sharedStrings.xml><?xml version="1.0" encoding="utf-8"?>
<sst xmlns="http://schemas.openxmlformats.org/spreadsheetml/2006/main" count="969" uniqueCount="299">
  <si>
    <t>State Funding Assumptions</t>
  </si>
  <si>
    <t>2023-2024</t>
  </si>
  <si>
    <t>2024-2025</t>
  </si>
  <si>
    <t>2025-2026</t>
  </si>
  <si>
    <t>2026-2027</t>
  </si>
  <si>
    <t>2027-2028</t>
  </si>
  <si>
    <t>Year 1</t>
  </si>
  <si>
    <t>Year 2</t>
  </si>
  <si>
    <t>Year 3</t>
  </si>
  <si>
    <t>Year 4</t>
  </si>
  <si>
    <t>Year 5</t>
  </si>
  <si>
    <t>Basic Tuition Support Grant</t>
  </si>
  <si>
    <t>Special Education Grant</t>
  </si>
  <si>
    <t>Charter and Innovation Grant</t>
  </si>
  <si>
    <t>TOTAL (non Special Ed)</t>
  </si>
  <si>
    <t>TOTAL (Special Ed)</t>
  </si>
  <si>
    <t>Using the latest school funding formula run. FY23 number are real, FY24 and beyond are projetions based on a conseravtiely projected 2% annual increase.</t>
  </si>
  <si>
    <t>projected numbers (2% annual increase)</t>
  </si>
  <si>
    <t>FY23</t>
  </si>
  <si>
    <t>FY23 (per pupil)</t>
  </si>
  <si>
    <t>FY24</t>
  </si>
  <si>
    <t>FY25</t>
  </si>
  <si>
    <t>FY26</t>
  </si>
  <si>
    <t>FY27</t>
  </si>
  <si>
    <t>FY28</t>
  </si>
  <si>
    <t>Carmel Clay Schools</t>
  </si>
  <si>
    <t>Non Virtual ADM</t>
  </si>
  <si>
    <t>Virtual ADM</t>
  </si>
  <si>
    <t>N/A</t>
  </si>
  <si>
    <t>Complexity Index</t>
  </si>
  <si>
    <t>Foundation</t>
  </si>
  <si>
    <t>Complexity</t>
  </si>
  <si>
    <t>Total Regular</t>
  </si>
  <si>
    <t>Special Ed</t>
  </si>
  <si>
    <t>Career and Tech Ed</t>
  </si>
  <si>
    <t>Honors</t>
  </si>
  <si>
    <t>Total</t>
  </si>
  <si>
    <t>$/ADM</t>
  </si>
  <si>
    <t>Title I</t>
  </si>
  <si>
    <t>Title III(ELL)</t>
  </si>
  <si>
    <t>Indiana Special Education Funding</t>
  </si>
  <si>
    <t>FY22</t>
  </si>
  <si>
    <t>APC Level I</t>
  </si>
  <si>
    <t>APC Level II</t>
  </si>
  <si>
    <t>APC Level III (speech language)</t>
  </si>
  <si>
    <t>School Enrollment Projections</t>
  </si>
  <si>
    <t>(must align with Charter Application Enrollment Plan)</t>
  </si>
  <si>
    <t>School Name:</t>
  </si>
  <si>
    <t>Valor Classical Academy</t>
  </si>
  <si>
    <t>Planned Opening Year:</t>
  </si>
  <si>
    <t>Planned Location:</t>
  </si>
  <si>
    <t>Enrollment</t>
  </si>
  <si>
    <t>Notes &amp; Definitions</t>
  </si>
  <si>
    <t>Kindergarten</t>
  </si>
  <si>
    <t>Grade 1</t>
  </si>
  <si>
    <t>Grade 2</t>
  </si>
  <si>
    <t>Grade 3</t>
  </si>
  <si>
    <t>Grade 4</t>
  </si>
  <si>
    <t>Grade 5</t>
  </si>
  <si>
    <t>Grade 6</t>
  </si>
  <si>
    <t>Grade 7</t>
  </si>
  <si>
    <t>Grade 8</t>
  </si>
  <si>
    <t>Grade 9</t>
  </si>
  <si>
    <t>Grade 10</t>
  </si>
  <si>
    <t>Grade 11</t>
  </si>
  <si>
    <t>Grade 12</t>
  </si>
  <si>
    <t>Total K-12 Enrollment:</t>
  </si>
  <si>
    <t>Estimated % of Students:</t>
  </si>
  <si>
    <t>Special Education</t>
  </si>
  <si>
    <t>English Learners</t>
  </si>
  <si>
    <t>Qualify for Free/Reduced Priced Lunch</t>
  </si>
  <si>
    <t>K-12 Distribution</t>
  </si>
  <si>
    <t>Annual Operating Budget and Cash Flow Projections -- Fiscal Year 0 -- Pre-Opening Period</t>
  </si>
  <si>
    <t>REVENUE</t>
  </si>
  <si>
    <t>July</t>
  </si>
  <si>
    <t>August</t>
  </si>
  <si>
    <t>September</t>
  </si>
  <si>
    <t>October</t>
  </si>
  <si>
    <t>November</t>
  </si>
  <si>
    <t>December</t>
  </si>
  <si>
    <t>January</t>
  </si>
  <si>
    <t>February</t>
  </si>
  <si>
    <t>March</t>
  </si>
  <si>
    <t>April</t>
  </si>
  <si>
    <t>May</t>
  </si>
  <si>
    <t>June</t>
  </si>
  <si>
    <t>Year 0 Totals</t>
  </si>
  <si>
    <t>Federal Revenue - See Footnotes</t>
  </si>
  <si>
    <t>Public Charter School Program Grant (1)</t>
  </si>
  <si>
    <t>Other Federal Revenue (please describe on Tab 5)</t>
  </si>
  <si>
    <t>Total Federal Revenue:</t>
  </si>
  <si>
    <t>Other Revenue</t>
  </si>
  <si>
    <t>Contributions and Donations from Private Sources</t>
  </si>
  <si>
    <t>Interest Income</t>
  </si>
  <si>
    <t>$ -</t>
  </si>
  <si>
    <t>Other Revenue (please describe on Tab 5)</t>
  </si>
  <si>
    <t>Total Other Revenue:</t>
  </si>
  <si>
    <t>TOTAL REVENUE:</t>
  </si>
  <si>
    <t>EXPENSES</t>
  </si>
  <si>
    <t>Personnel Expenses</t>
  </si>
  <si>
    <t>Wages, Benefits, &amp; Payroll Taxes</t>
  </si>
  <si>
    <t>Total Personnel Expenses:</t>
  </si>
  <si>
    <t>Instructional Supplies and Resources - See Footnotes</t>
  </si>
  <si>
    <t>Textbooks</t>
  </si>
  <si>
    <t>Library/Media Services (Other than Staff)</t>
  </si>
  <si>
    <t>Technology Supporting Instruction (computers, tablets, etc.)</t>
  </si>
  <si>
    <t>Student Assessment</t>
  </si>
  <si>
    <t>Instructional Software</t>
  </si>
  <si>
    <t>Professional Development</t>
  </si>
  <si>
    <t>Enrichment Programs (athletics or extra-curricular activities)</t>
  </si>
  <si>
    <t>Other Instruction Supplies (not including technology)</t>
  </si>
  <si>
    <t>Total Instructional Supplies and Resources:</t>
  </si>
  <si>
    <t>Administrative Resources</t>
  </si>
  <si>
    <t>Administrative Technology - Computers &amp; Software (not SiS)</t>
  </si>
  <si>
    <t>Other Administrative Expenses (please describe on Tab 5)</t>
  </si>
  <si>
    <t>Total Administrative Resources:</t>
  </si>
  <si>
    <t>Governing Board Expenses</t>
  </si>
  <si>
    <t>Legal Services</t>
  </si>
  <si>
    <t>Other Governing Board Expenses (please describe on Tab 5)</t>
  </si>
  <si>
    <t>Total Governing Board Expenses:</t>
  </si>
  <si>
    <t>Purchased or Other Services (do not include staff expenses)</t>
  </si>
  <si>
    <t>Audit Services</t>
  </si>
  <si>
    <t>Payroll Services</t>
  </si>
  <si>
    <t>Financial Accounting</t>
  </si>
  <si>
    <t>Printing, Publishing, Duplicating Services</t>
  </si>
  <si>
    <t>Telecommunication &amp; IT Services</t>
  </si>
  <si>
    <t>Insurance (non-facility)</t>
  </si>
  <si>
    <t>Travel</t>
  </si>
  <si>
    <t>Mail Services</t>
  </si>
  <si>
    <t>Special Education Administration</t>
  </si>
  <si>
    <t>Student Information Services or Systems</t>
  </si>
  <si>
    <t>Food Services</t>
  </si>
  <si>
    <t>Transportation Services</t>
  </si>
  <si>
    <t>Marketing Expenses</t>
  </si>
  <si>
    <t>Other Services (please describe on Tab 5)</t>
  </si>
  <si>
    <t>Total Professional Purchased or Other Services:</t>
  </si>
  <si>
    <t>Facilities Expenses (do not include staff expenses, e.g. custodian)</t>
  </si>
  <si>
    <t>Facility Lease/Mortgage Payments (please describe)</t>
  </si>
  <si>
    <t>Capital Improvements</t>
  </si>
  <si>
    <t>Other Principal Payments</t>
  </si>
  <si>
    <t>Operating Leases</t>
  </si>
  <si>
    <t>Interest Payments</t>
  </si>
  <si>
    <t>Interest Expense</t>
  </si>
  <si>
    <t>Depreciation Expense</t>
  </si>
  <si>
    <t>Insurance (Facility)</t>
  </si>
  <si>
    <t>Purchase of Furniture, Fixtures, &amp; Equipment</t>
  </si>
  <si>
    <t>Electric &amp; Gas</t>
  </si>
  <si>
    <t>Water &amp; Sewage</t>
  </si>
  <si>
    <t>Repair and Maintenance Services (including cost of supplies)</t>
  </si>
  <si>
    <t>Custodial Services (including cost of suppliesl)</t>
  </si>
  <si>
    <t>Waste Disposal</t>
  </si>
  <si>
    <t>Security Services</t>
  </si>
  <si>
    <t>Other Facility Expenses (please describe)</t>
  </si>
  <si>
    <t>Total Facilities Expenses:</t>
  </si>
  <si>
    <t>Other Expenses - See Footnotes</t>
  </si>
  <si>
    <t>Management Fee (2)</t>
  </si>
  <si>
    <t>Bank Fees</t>
  </si>
  <si>
    <t>Other Expenses (please describe)</t>
  </si>
  <si>
    <t>Total Other Expenses:</t>
  </si>
  <si>
    <t>TOTAL EXPENSES:</t>
  </si>
  <si>
    <t>CHANGE IN NET ASSETS:</t>
  </si>
  <si>
    <t>Footnotes:</t>
  </si>
  <si>
    <t>(1) This is a competitive grant. Funding is not guaranteed. The funding for the PCSP grant is distributed through a reimbursement process. Contact IDOE's Office of Title Grants and Support for more information.</t>
  </si>
  <si>
    <t>(2) Include only those fees (per-pupil, contingent, or fixed) paid to a management company for educational or management services and describe how the fee is calculated in the budget narrative. All amounts separate from a specific “management fee” paid to a management company or an affiliate of the management company must be included elsewhere in the worksheet (e.g., lease payments, instructional supplies, software, technology, etc.) and described in the “Additional Information” Column.</t>
  </si>
  <si>
    <t>5-Year Projected Staffing Plan</t>
  </si>
  <si>
    <t>Year 0</t>
  </si>
  <si>
    <t>Number</t>
  </si>
  <si>
    <t>Average Salary</t>
  </si>
  <si>
    <t>Total Expense</t>
  </si>
  <si>
    <t>INSTRUCTIONAL STAFF</t>
  </si>
  <si>
    <t>Elementary Teacher(K-6)</t>
  </si>
  <si>
    <t>Music Teacher</t>
  </si>
  <si>
    <t>Art Teacher</t>
  </si>
  <si>
    <t>P.E. Teacher</t>
  </si>
  <si>
    <t>Middle School Teacher (7-8)</t>
  </si>
  <si>
    <t>Special Education Teacher</t>
  </si>
  <si>
    <t>Instructional Aide</t>
  </si>
  <si>
    <t>Latin Teacher</t>
  </si>
  <si>
    <t>History Teacher</t>
  </si>
  <si>
    <t>Humanities Teacher</t>
  </si>
  <si>
    <t>Math/Science Teacher</t>
  </si>
  <si>
    <t>English Teacher</t>
  </si>
  <si>
    <t>Foreign Language Teacher</t>
  </si>
  <si>
    <t>Total Instructional Staff:</t>
  </si>
  <si>
    <t>ADMIN &amp; SUPPORT</t>
  </si>
  <si>
    <t>Headmaster</t>
  </si>
  <si>
    <t>Assistant Headmaster</t>
  </si>
  <si>
    <t>Business Manager</t>
  </si>
  <si>
    <t>Student Services Director</t>
  </si>
  <si>
    <t>Student Services Paraprofessional</t>
  </si>
  <si>
    <t>Facilities/Operations Manager</t>
  </si>
  <si>
    <t>Executive Assistant</t>
  </si>
  <si>
    <t>School Nurse</t>
  </si>
  <si>
    <t>Custodian</t>
  </si>
  <si>
    <t>Registrar</t>
  </si>
  <si>
    <t>IT Manager</t>
  </si>
  <si>
    <t>Business Assistant</t>
  </si>
  <si>
    <t>Receptionist</t>
  </si>
  <si>
    <t>Total Admin &amp; Support Staff:</t>
  </si>
  <si>
    <t>Rate/Per</t>
  </si>
  <si>
    <t>BENEFITS</t>
  </si>
  <si>
    <t>Health Insurance (2)</t>
  </si>
  <si>
    <t>Retirement Contributions (3)</t>
  </si>
  <si>
    <t>Social Security</t>
  </si>
  <si>
    <t>Medicare</t>
  </si>
  <si>
    <t>Unemployment</t>
  </si>
  <si>
    <t>Other Compensation (4)</t>
  </si>
  <si>
    <t>SUMMARY</t>
  </si>
  <si>
    <t>Total Staff</t>
  </si>
  <si>
    <t>Total Salaries:</t>
  </si>
  <si>
    <t>Total Benefits:</t>
  </si>
  <si>
    <t>Total Salaries + Benefits:</t>
  </si>
  <si>
    <t>Student/teacher ratio</t>
  </si>
  <si>
    <t>Student/staff ratio</t>
  </si>
  <si>
    <t>(1) Amounts paid to "employees" regardless of whether they are full-time, part-time, or limited-time should be listed in the Average Salary column (Rows 15-47) for each year. All pay provided to an employee for services performed should be included, including salaries, vacation allowances, bonuses, stipends, commissions, and taxable fringe benefits. For more information, see https://www.irs.gov/publications/p15.</t>
  </si>
  <si>
    <t>(2) Health Insurance includes Group Life Insurance, Group Health Insurance, Group Accident Insurance, Other Authorized Group Insurance, and Workers Compensation Insurance.</t>
  </si>
  <si>
    <t>(3) Retirement Contributions includes Severance/Early Retirement Pay, Public Employees Retirement Fund, Teachers Retirement Fund, Public Employees Retirement Fund (Optional Contribution), Teacher Retirement Fund (Optional Contribution).</t>
  </si>
  <si>
    <t>(4) Other Compensation - Includes any other benefits not otherwise classified above, including payments made to independent contractors. This cell should reflect the sum total of all Other Compensation for the year.</t>
  </si>
  <si>
    <t>(5) Across the board 3% annual salary increases</t>
  </si>
  <si>
    <t>Projected New School Annual Operating Budget -- YEARS 1 - 5 (Fiscal Year July 1-June 30)</t>
  </si>
  <si>
    <t>Projected Enrollment</t>
  </si>
  <si>
    <t>REVENUES</t>
  </si>
  <si>
    <t>Additional Information</t>
  </si>
  <si>
    <t>State Revenue - See Footnotes</t>
  </si>
  <si>
    <t>Basic Tuition Support</t>
  </si>
  <si>
    <t xml:space="preserve">Special Education Grant </t>
  </si>
  <si>
    <t>Honors Diploma Grant</t>
  </si>
  <si>
    <t>CTE Grant</t>
  </si>
  <si>
    <t>Charter and Innovation Network School Grant</t>
  </si>
  <si>
    <t>Formative Assessment Grant</t>
  </si>
  <si>
    <t>State Matching Funds for School Lunch Program</t>
  </si>
  <si>
    <t>High Ability (Gifted and Talented) Program</t>
  </si>
  <si>
    <t>Textbook Reimbursement</t>
  </si>
  <si>
    <t>Remediation Program Grant</t>
  </si>
  <si>
    <t>Teacher Appreciation Grant</t>
  </si>
  <si>
    <t>Other State Grants (please describe)</t>
  </si>
  <si>
    <t>Total State Revenue:</t>
  </si>
  <si>
    <t>Public Charter School Program Grant</t>
  </si>
  <si>
    <t>CSP Grant of 300k received for year 0 activities</t>
  </si>
  <si>
    <t>Charter Facilities Assistance Program Grant</t>
  </si>
  <si>
    <t>IDEA- Part B Grant (Special Education)</t>
  </si>
  <si>
    <t>Title II</t>
  </si>
  <si>
    <t>Federal Lunch Program</t>
  </si>
  <si>
    <t>Federal Breakfast Reimbursement</t>
  </si>
  <si>
    <t>Other Federal Revenue (please describe)</t>
  </si>
  <si>
    <t>Assumed 65% collection rate on textbook fees</t>
  </si>
  <si>
    <t>Student Fees</t>
  </si>
  <si>
    <t>Other Fees</t>
  </si>
  <si>
    <t>Other Revenue (please describe)</t>
  </si>
  <si>
    <t>Administrative Staff</t>
  </si>
  <si>
    <t>School Administration: Office of the Principal</t>
  </si>
  <si>
    <t>Other School Administration</t>
  </si>
  <si>
    <t>Business Manager/Director of Finance</t>
  </si>
  <si>
    <t>Total Administrative Staff:</t>
  </si>
  <si>
    <t>Instructional Staff</t>
  </si>
  <si>
    <t>Teachers - Regular</t>
  </si>
  <si>
    <t>Teachers - Special Education</t>
  </si>
  <si>
    <t>Substitutes, Assistants, Paraprofessionals, Aides</t>
  </si>
  <si>
    <t>Substitutes only included here</t>
  </si>
  <si>
    <t>Summer School Staff</t>
  </si>
  <si>
    <t>Non-Instructional/Support Staff - See Footnotes</t>
  </si>
  <si>
    <t>Social Workers, Guidence Counselors, Therapists</t>
  </si>
  <si>
    <t>Instructional Support Staff</t>
  </si>
  <si>
    <t xml:space="preserve">Other Support Staff (please describe) </t>
  </si>
  <si>
    <t xml:space="preserve">All administrative staff, except School Leader </t>
  </si>
  <si>
    <t>Nurse</t>
  </si>
  <si>
    <t>and Business Manager</t>
  </si>
  <si>
    <t>Librarian</t>
  </si>
  <si>
    <t>Information Technology</t>
  </si>
  <si>
    <t>Maintenance of Buildings, Grounds, Equipment (including Custodial Staff)</t>
  </si>
  <si>
    <t>Grounds budgeted in facilities as service</t>
  </si>
  <si>
    <t>Security Personnel</t>
  </si>
  <si>
    <t>Budget in Facility Services</t>
  </si>
  <si>
    <t>Athletic Coaches</t>
  </si>
  <si>
    <t>Total Non-Instructional/Support Staff:</t>
  </si>
  <si>
    <t>Subtotal Wages and Salaries:</t>
  </si>
  <si>
    <t>Payroll Taxes and Benefits - From Tab 3</t>
  </si>
  <si>
    <t>Social Security/Medicare/Unemployment</t>
  </si>
  <si>
    <t>Health Insurance</t>
  </si>
  <si>
    <t>Retirement Contributions</t>
  </si>
  <si>
    <t>Other Compensation (please describe)</t>
  </si>
  <si>
    <t>Total Payroll Taxes and Benefits:</t>
  </si>
  <si>
    <t>Assumed $200/student in textbook expense.</t>
  </si>
  <si>
    <t>NWEA MAP at $15/student/year</t>
  </si>
  <si>
    <t>All costs including stipends for coaches/AD</t>
  </si>
  <si>
    <t>$185 per student</t>
  </si>
  <si>
    <t>Other Administrative Expenses (please describe)</t>
  </si>
  <si>
    <t>Other Governing Board Expenses (please describe)</t>
  </si>
  <si>
    <t>Indiana Charters (see line 131)</t>
  </si>
  <si>
    <t>Student Information Services or Systems (license)</t>
  </si>
  <si>
    <t>Other Services - Indiana Charters</t>
  </si>
  <si>
    <t>Indicates maximum lease cost in this scenario</t>
  </si>
  <si>
    <t>Custodial Services (including cost of supplies)</t>
  </si>
  <si>
    <t>Custodial Supply Cost</t>
  </si>
  <si>
    <t>Other expenses for exterior upkeep.</t>
  </si>
  <si>
    <t>Grace Charter Administrative Fee</t>
  </si>
  <si>
    <t>Management Fee</t>
  </si>
  <si>
    <t xml:space="preserve">Escrow </t>
  </si>
  <si>
    <t>Contingency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</si>
</sst>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
    <numFmt numFmtId="165" formatCode="&quot;$&quot;#,##0.00"/>
  </numFmts>
  <fonts count="33" x14ac:knownFonts="1">
    <font>
      <sz val="10"/>
      <color rgb="FF000000"/>
      <name val="Arial"/>
      <scheme val="minor"/>
    </font>
    <font>
      <sz val="10"/>
      <color theme="1"/>
      <name val="Arial"/>
    </font>
    <font>
      <b/>
      <sz val="12"/>
      <color theme="1"/>
      <name val="Arial"/>
    </font>
    <font>
      <sz val="10"/>
      <name val="Arial"/>
    </font>
    <font>
      <b/>
      <sz val="11"/>
      <color theme="1"/>
      <name val="Calibri"/>
    </font>
    <font>
      <sz val="11"/>
      <color theme="1"/>
      <name val="Calibri"/>
    </font>
    <font>
      <b/>
      <sz val="10"/>
      <color theme="1"/>
      <name val="Arial"/>
    </font>
    <font>
      <u/>
      <sz val="10"/>
      <color theme="1"/>
      <name val="Arial"/>
    </font>
    <font>
      <u/>
      <sz val="10"/>
      <color theme="1"/>
      <name val="Arial"/>
    </font>
    <font>
      <b/>
      <u/>
      <sz val="10"/>
      <color theme="1"/>
      <name val="Arial"/>
    </font>
    <font>
      <b/>
      <u/>
      <sz val="10"/>
      <color theme="1"/>
      <name val="Arial"/>
    </font>
    <font>
      <sz val="11"/>
      <color rgb="FF000000"/>
      <name val="Calibri"/>
    </font>
    <font>
      <b/>
      <sz val="14"/>
      <color rgb="FF000000"/>
      <name val="Calibri"/>
    </font>
    <font>
      <sz val="14"/>
      <color rgb="FF000000"/>
      <name val="Calibri"/>
    </font>
    <font>
      <sz val="10"/>
      <color rgb="FF000000"/>
      <name val="Arial"/>
    </font>
    <font>
      <b/>
      <sz val="11"/>
      <color rgb="FF000000"/>
      <name val="Calibri"/>
    </font>
    <font>
      <b/>
      <u/>
      <sz val="11"/>
      <color theme="1"/>
      <name val="Calibri"/>
    </font>
    <font>
      <sz val="11"/>
      <color rgb="FF0070C0"/>
      <name val="Calibri"/>
    </font>
    <font>
      <b/>
      <u/>
      <sz val="11"/>
      <color theme="1"/>
      <name val="Calibri"/>
    </font>
    <font>
      <sz val="10"/>
      <color rgb="FF000000"/>
      <name val="Calibri"/>
    </font>
    <font>
      <b/>
      <sz val="14"/>
      <color theme="1"/>
      <name val="Calibri"/>
    </font>
    <font>
      <b/>
      <sz val="10"/>
      <color rgb="FF000000"/>
      <name val="Calibri"/>
    </font>
    <font>
      <b/>
      <sz val="10"/>
      <color theme="1"/>
      <name val="Calibri"/>
    </font>
    <font>
      <sz val="10"/>
      <color theme="1"/>
      <name val="Calibri"/>
    </font>
    <font>
      <u/>
      <sz val="11"/>
      <color rgb="FF000000"/>
      <name val="Calibri"/>
    </font>
    <font>
      <sz val="11"/>
      <color rgb="FF538DD5"/>
      <name val="Calibri"/>
    </font>
    <font>
      <b/>
      <sz val="11"/>
      <color rgb="FFFFFFFF"/>
      <name val="Calibri"/>
    </font>
    <font>
      <b/>
      <sz val="11"/>
      <color theme="0"/>
      <name val="Calibri"/>
    </font>
    <font>
      <b/>
      <i/>
      <sz val="11"/>
      <color theme="1"/>
      <name val="Calibri"/>
    </font>
    <font>
      <i/>
      <sz val="11"/>
      <color theme="1"/>
      <name val="Calibri"/>
    </font>
    <font>
      <u/>
      <sz val="11"/>
      <color theme="1"/>
      <name val="Calibri"/>
    </font>
    <font>
      <b/>
      <sz val="11"/>
      <color rgb="FFFF0000"/>
      <name val="Calibri"/>
    </font>
    <font>
      <b/>
      <i/>
      <sz val="11"/>
      <color rgb="FFFF0000"/>
      <name val="Calibri"/>
    </font>
  </fonts>
  <fills count="7">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333333"/>
        <bgColor rgb="FF333333"/>
      </patternFill>
    </fill>
    <fill>
      <patternFill patternType="solid">
        <fgColor rgb="FFBFBFBF"/>
        <bgColor rgb="FFBFBFBF"/>
      </patternFill>
    </fill>
    <fill>
      <patternFill patternType="solid">
        <fgColor rgb="FF000000"/>
        <bgColor rgb="FF000000"/>
      </patternFill>
    </fill>
  </fills>
  <borders count="4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262">
    <xf numFmtId="0" fontId="0" fillId="0" borderId="0" xfId="0" applyFont="1" applyAlignment="1"/>
    <xf numFmtId="0" fontId="1" fillId="0" borderId="0" xfId="0" applyFont="1"/>
    <xf numFmtId="0" fontId="1" fillId="0" borderId="4" xfId="0" applyFont="1" applyBorder="1"/>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5" fillId="2" borderId="5" xfId="0" applyFont="1" applyFill="1" applyBorder="1" applyAlignment="1">
      <alignment horizontal="center"/>
    </xf>
    <xf numFmtId="0" fontId="5" fillId="2" borderId="9" xfId="0" applyFont="1" applyFill="1" applyBorder="1" applyAlignment="1">
      <alignment horizontal="center"/>
    </xf>
    <xf numFmtId="4" fontId="5" fillId="2" borderId="5" xfId="0" applyNumberFormat="1" applyFont="1" applyFill="1" applyBorder="1" applyAlignment="1">
      <alignment horizontal="right"/>
    </xf>
    <xf numFmtId="4" fontId="5" fillId="2" borderId="6" xfId="0" applyNumberFormat="1" applyFont="1" applyFill="1" applyBorder="1" applyAlignment="1">
      <alignment horizontal="right"/>
    </xf>
    <xf numFmtId="0" fontId="1" fillId="0" borderId="0" xfId="0" applyFont="1" applyAlignment="1">
      <alignment horizontal="center"/>
    </xf>
    <xf numFmtId="0" fontId="1" fillId="0" borderId="4" xfId="0" applyFont="1" applyBorder="1" applyAlignment="1">
      <alignment horizontal="center"/>
    </xf>
    <xf numFmtId="4" fontId="5" fillId="0" borderId="0" xfId="0" applyNumberFormat="1" applyFont="1" applyAlignment="1">
      <alignment horizontal="right"/>
    </xf>
    <xf numFmtId="4" fontId="5" fillId="0" borderId="10" xfId="0" applyNumberFormat="1" applyFont="1" applyBorder="1" applyAlignment="1">
      <alignment horizontal="right"/>
    </xf>
    <xf numFmtId="0" fontId="5" fillId="2" borderId="11" xfId="0" applyFont="1" applyFill="1" applyBorder="1" applyAlignment="1">
      <alignment horizontal="center"/>
    </xf>
    <xf numFmtId="4" fontId="5" fillId="2" borderId="7" xfId="0" applyNumberFormat="1" applyFont="1" applyFill="1" applyBorder="1" applyAlignment="1">
      <alignment horizontal="right"/>
    </xf>
    <xf numFmtId="4" fontId="5" fillId="2" borderId="8" xfId="0" applyNumberFormat="1" applyFont="1" applyFill="1" applyBorder="1" applyAlignment="1">
      <alignment horizontal="right"/>
    </xf>
    <xf numFmtId="0" fontId="4" fillId="2" borderId="12" xfId="0" applyFont="1" applyFill="1" applyBorder="1" applyAlignment="1">
      <alignment horizontal="center"/>
    </xf>
    <xf numFmtId="164" fontId="5" fillId="2" borderId="13" xfId="0" applyNumberFormat="1" applyFont="1" applyFill="1" applyBorder="1" applyAlignment="1">
      <alignment horizontal="right"/>
    </xf>
    <xf numFmtId="164" fontId="5" fillId="2" borderId="14" xfId="0" applyNumberFormat="1" applyFont="1" applyFill="1" applyBorder="1" applyAlignment="1">
      <alignment horizontal="right"/>
    </xf>
    <xf numFmtId="0" fontId="4" fillId="2" borderId="11" xfId="0" applyFont="1" applyFill="1" applyBorder="1" applyAlignment="1">
      <alignment horizontal="center"/>
    </xf>
    <xf numFmtId="164" fontId="5" fillId="2" borderId="7" xfId="0" applyNumberFormat="1" applyFont="1" applyFill="1" applyBorder="1" applyAlignment="1">
      <alignment horizontal="right"/>
    </xf>
    <xf numFmtId="164" fontId="5" fillId="2" borderId="8" xfId="0" applyNumberFormat="1" applyFont="1" applyFill="1" applyBorder="1" applyAlignment="1">
      <alignment horizontal="right"/>
    </xf>
    <xf numFmtId="0" fontId="1" fillId="0" borderId="18" xfId="0" applyFont="1" applyBorder="1"/>
    <xf numFmtId="0" fontId="1" fillId="0" borderId="19" xfId="0" applyFont="1" applyBorder="1"/>
    <xf numFmtId="0" fontId="1" fillId="0" borderId="20" xfId="0" applyFont="1" applyBorder="1"/>
    <xf numFmtId="0" fontId="6" fillId="0" borderId="0" xfId="0" applyFont="1"/>
    <xf numFmtId="4" fontId="1" fillId="0" borderId="0" xfId="0" applyNumberFormat="1" applyFont="1"/>
    <xf numFmtId="0" fontId="7" fillId="0" borderId="0" xfId="0" applyFont="1"/>
    <xf numFmtId="4" fontId="8" fillId="0" borderId="0" xfId="0" applyNumberFormat="1" applyFont="1"/>
    <xf numFmtId="0" fontId="9" fillId="0" borderId="0" xfId="0" applyFont="1"/>
    <xf numFmtId="4" fontId="10" fillId="0" borderId="0" xfId="0" applyNumberFormat="1" applyFont="1"/>
    <xf numFmtId="0" fontId="11" fillId="2" borderId="21" xfId="0" applyFont="1" applyFill="1" applyBorder="1"/>
    <xf numFmtId="0" fontId="11" fillId="2" borderId="22" xfId="0" applyFont="1" applyFill="1" applyBorder="1"/>
    <xf numFmtId="0" fontId="11" fillId="2" borderId="23" xfId="0" applyFont="1" applyFill="1" applyBorder="1"/>
    <xf numFmtId="0" fontId="11" fillId="2" borderId="9" xfId="0" applyFont="1" applyFill="1" applyBorder="1"/>
    <xf numFmtId="0" fontId="11" fillId="2" borderId="5" xfId="0" applyFont="1" applyFill="1" applyBorder="1"/>
    <xf numFmtId="0" fontId="13" fillId="2" borderId="5"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xf numFmtId="0" fontId="15" fillId="0" borderId="0" xfId="0" applyFont="1" applyAlignment="1">
      <alignment horizontal="center"/>
    </xf>
    <xf numFmtId="0" fontId="15" fillId="2" borderId="5" xfId="0" applyFont="1" applyFill="1" applyBorder="1" applyAlignment="1">
      <alignment horizontal="center"/>
    </xf>
    <xf numFmtId="0" fontId="15" fillId="2" borderId="5" xfId="0" applyFont="1" applyFill="1" applyBorder="1"/>
    <xf numFmtId="0" fontId="15" fillId="2" borderId="5" xfId="0" applyFont="1" applyFill="1" applyBorder="1" applyAlignment="1">
      <alignment horizontal="left"/>
    </xf>
    <xf numFmtId="0" fontId="5" fillId="2" borderId="5" xfId="0" applyFont="1" applyFill="1" applyBorder="1"/>
    <xf numFmtId="0" fontId="4" fillId="2" borderId="22" xfId="0" applyFont="1" applyFill="1" applyBorder="1" applyAlignment="1">
      <alignment horizontal="center"/>
    </xf>
    <xf numFmtId="0" fontId="4" fillId="2" borderId="13" xfId="0" applyFont="1" applyFill="1" applyBorder="1" applyAlignment="1">
      <alignment horizontal="center"/>
    </xf>
    <xf numFmtId="0" fontId="4" fillId="2" borderId="23" xfId="0" applyFont="1" applyFill="1" applyBorder="1" applyAlignment="1">
      <alignment horizontal="center"/>
    </xf>
    <xf numFmtId="0" fontId="5" fillId="2" borderId="6" xfId="0" applyFont="1" applyFill="1" applyBorder="1" applyAlignment="1">
      <alignment horizontal="center"/>
    </xf>
    <xf numFmtId="0" fontId="5" fillId="3" borderId="14" xfId="0" applyFont="1" applyFill="1" applyBorder="1" applyAlignment="1">
      <alignment horizontal="center"/>
    </xf>
    <xf numFmtId="0" fontId="5" fillId="3" borderId="8" xfId="0" applyFont="1" applyFill="1" applyBorder="1" applyAlignment="1">
      <alignment horizontal="center"/>
    </xf>
    <xf numFmtId="0" fontId="17" fillId="2" borderId="6" xfId="0" applyFont="1" applyFill="1" applyBorder="1" applyAlignment="1">
      <alignment horizontal="center"/>
    </xf>
    <xf numFmtId="0" fontId="5" fillId="2" borderId="28" xfId="0" applyFont="1" applyFill="1" applyBorder="1" applyAlignment="1">
      <alignment horizontal="center"/>
    </xf>
    <xf numFmtId="0" fontId="4" fillId="2" borderId="5" xfId="0" applyFont="1" applyFill="1" applyBorder="1" applyAlignment="1">
      <alignment horizontal="left"/>
    </xf>
    <xf numFmtId="0" fontId="18" fillId="2" borderId="5" xfId="0" applyFont="1" applyFill="1" applyBorder="1" applyAlignment="1">
      <alignment horizontal="left"/>
    </xf>
    <xf numFmtId="0" fontId="5" fillId="2" borderId="7" xfId="0" applyFont="1" applyFill="1" applyBorder="1" applyAlignment="1">
      <alignment horizontal="center"/>
    </xf>
    <xf numFmtId="0" fontId="5" fillId="2" borderId="5" xfId="0" applyFont="1" applyFill="1" applyBorder="1" applyAlignment="1">
      <alignment horizontal="left"/>
    </xf>
    <xf numFmtId="9" fontId="5" fillId="3" borderId="28" xfId="0" applyNumberFormat="1" applyFont="1" applyFill="1" applyBorder="1" applyAlignment="1">
      <alignment horizontal="center"/>
    </xf>
    <xf numFmtId="9" fontId="5" fillId="3" borderId="14" xfId="0" applyNumberFormat="1" applyFont="1" applyFill="1" applyBorder="1" applyAlignment="1">
      <alignment horizontal="center"/>
    </xf>
    <xf numFmtId="9" fontId="5" fillId="3" borderId="8" xfId="0" applyNumberFormat="1" applyFont="1" applyFill="1" applyBorder="1" applyAlignment="1">
      <alignment horizontal="center"/>
    </xf>
    <xf numFmtId="9" fontId="5" fillId="3" borderId="29" xfId="0" applyNumberFormat="1" applyFont="1" applyFill="1" applyBorder="1" applyAlignment="1">
      <alignment horizontal="center"/>
    </xf>
    <xf numFmtId="165" fontId="11" fillId="0" borderId="28" xfId="0" applyNumberFormat="1" applyFont="1" applyBorder="1"/>
    <xf numFmtId="0" fontId="11" fillId="2" borderId="5" xfId="0" applyFont="1" applyFill="1" applyBorder="1" applyAlignment="1">
      <alignment horizontal="left"/>
    </xf>
    <xf numFmtId="0" fontId="5" fillId="2" borderId="7" xfId="0" applyFont="1" applyFill="1" applyBorder="1"/>
    <xf numFmtId="0" fontId="5" fillId="2" borderId="8" xfId="0" applyFont="1" applyFill="1" applyBorder="1"/>
    <xf numFmtId="0" fontId="11" fillId="2" borderId="11" xfId="0" applyFont="1" applyFill="1" applyBorder="1"/>
    <xf numFmtId="0" fontId="11" fillId="2" borderId="13" xfId="0" applyFont="1" applyFill="1" applyBorder="1"/>
    <xf numFmtId="0" fontId="11" fillId="2" borderId="7" xfId="0" applyFont="1" applyFill="1" applyBorder="1"/>
    <xf numFmtId="0" fontId="11" fillId="2" borderId="8" xfId="0" applyFont="1" applyFill="1" applyBorder="1"/>
    <xf numFmtId="0" fontId="19" fillId="2" borderId="21" xfId="0" applyFont="1" applyFill="1" applyBorder="1"/>
    <xf numFmtId="0" fontId="20" fillId="2" borderId="22" xfId="0" applyFont="1" applyFill="1" applyBorder="1" applyAlignment="1">
      <alignment horizontal="center"/>
    </xf>
    <xf numFmtId="0" fontId="19" fillId="2" borderId="23" xfId="0" applyFont="1" applyFill="1" applyBorder="1"/>
    <xf numFmtId="0" fontId="19" fillId="2" borderId="9" xfId="0" applyFont="1" applyFill="1" applyBorder="1"/>
    <xf numFmtId="0" fontId="21" fillId="2" borderId="5" xfId="0" applyFont="1" applyFill="1" applyBorder="1" applyAlignment="1">
      <alignment horizontal="center"/>
    </xf>
    <xf numFmtId="0" fontId="22" fillId="2" borderId="5" xfId="0" applyFont="1" applyFill="1" applyBorder="1"/>
    <xf numFmtId="0" fontId="21" fillId="2" borderId="5" xfId="0" applyFont="1" applyFill="1" applyBorder="1" applyAlignment="1">
      <alignment horizontal="left"/>
    </xf>
    <xf numFmtId="0" fontId="19" fillId="2" borderId="5" xfId="0" applyFont="1" applyFill="1" applyBorder="1"/>
    <xf numFmtId="0" fontId="19" fillId="2" borderId="6" xfId="0" applyFont="1" applyFill="1" applyBorder="1"/>
    <xf numFmtId="0" fontId="4" fillId="2" borderId="5" xfId="0" applyFont="1" applyFill="1" applyBorder="1"/>
    <xf numFmtId="0" fontId="19" fillId="0" borderId="0" xfId="0" applyFont="1"/>
    <xf numFmtId="0" fontId="22" fillId="2" borderId="9" xfId="0" applyFont="1" applyFill="1" applyBorder="1" applyAlignment="1">
      <alignment horizontal="center"/>
    </xf>
    <xf numFmtId="0" fontId="21" fillId="2" borderId="21" xfId="0" applyFont="1" applyFill="1" applyBorder="1" applyAlignment="1">
      <alignment horizontal="center"/>
    </xf>
    <xf numFmtId="0" fontId="21" fillId="2" borderId="22" xfId="0" applyFont="1" applyFill="1" applyBorder="1" applyAlignment="1">
      <alignment horizontal="center"/>
    </xf>
    <xf numFmtId="0" fontId="22" fillId="2" borderId="13" xfId="0" applyFont="1" applyFill="1" applyBorder="1" applyAlignment="1">
      <alignment horizontal="center"/>
    </xf>
    <xf numFmtId="0" fontId="22" fillId="2" borderId="23" xfId="0" applyFont="1" applyFill="1" applyBorder="1" applyAlignment="1">
      <alignment horizontal="center"/>
    </xf>
    <xf numFmtId="0" fontId="22" fillId="2" borderId="6" xfId="0" applyFont="1" applyFill="1" applyBorder="1" applyAlignment="1">
      <alignment horizontal="center"/>
    </xf>
    <xf numFmtId="0" fontId="21" fillId="2" borderId="9" xfId="0" applyFont="1" applyFill="1" applyBorder="1" applyAlignment="1">
      <alignment horizontal="center"/>
    </xf>
    <xf numFmtId="0" fontId="21" fillId="2" borderId="32" xfId="0" applyFont="1" applyFill="1" applyBorder="1" applyAlignment="1">
      <alignment horizontal="center"/>
    </xf>
    <xf numFmtId="0" fontId="15" fillId="2" borderId="9" xfId="0" applyFont="1" applyFill="1" applyBorder="1"/>
    <xf numFmtId="0" fontId="23" fillId="2" borderId="7" xfId="0" applyFont="1" applyFill="1" applyBorder="1" applyAlignment="1">
      <alignment horizontal="left"/>
    </xf>
    <xf numFmtId="0" fontId="19" fillId="2" borderId="7" xfId="0" applyFont="1" applyFill="1" applyBorder="1"/>
    <xf numFmtId="44" fontId="23" fillId="3" borderId="29" xfId="0" applyNumberFormat="1" applyFont="1" applyFill="1" applyBorder="1" applyAlignment="1">
      <alignment horizontal="left"/>
    </xf>
    <xf numFmtId="44" fontId="19" fillId="2" borderId="8" xfId="0" applyNumberFormat="1" applyFont="1" applyFill="1" applyBorder="1"/>
    <xf numFmtId="44" fontId="23" fillId="3" borderId="8" xfId="0" applyNumberFormat="1" applyFont="1" applyFill="1" applyBorder="1" applyAlignment="1">
      <alignment horizontal="left"/>
    </xf>
    <xf numFmtId="44" fontId="23" fillId="3" borderId="7" xfId="0" applyNumberFormat="1" applyFont="1" applyFill="1" applyBorder="1" applyAlignment="1">
      <alignment horizontal="left"/>
    </xf>
    <xf numFmtId="0" fontId="22" fillId="2" borderId="7" xfId="0" applyFont="1" applyFill="1" applyBorder="1" applyAlignment="1">
      <alignment horizontal="center"/>
    </xf>
    <xf numFmtId="44" fontId="23" fillId="2" borderId="29" xfId="0" applyNumberFormat="1" applyFont="1" applyFill="1" applyBorder="1" applyAlignment="1">
      <alignment horizontal="left"/>
    </xf>
    <xf numFmtId="0" fontId="23" fillId="2" borderId="5" xfId="0" applyFont="1" applyFill="1" applyBorder="1" applyAlignment="1">
      <alignment horizontal="left"/>
    </xf>
    <xf numFmtId="44" fontId="19" fillId="2" borderId="29" xfId="0" applyNumberFormat="1" applyFont="1" applyFill="1" applyBorder="1" applyAlignment="1">
      <alignment horizontal="left"/>
    </xf>
    <xf numFmtId="0" fontId="15" fillId="2" borderId="5" xfId="0" applyFont="1" applyFill="1" applyBorder="1" applyAlignment="1">
      <alignment horizontal="right"/>
    </xf>
    <xf numFmtId="44" fontId="23" fillId="3" borderId="29" xfId="0" applyNumberFormat="1" applyFont="1" applyFill="1" applyBorder="1" applyAlignment="1">
      <alignment horizontal="left"/>
    </xf>
    <xf numFmtId="44" fontId="23" fillId="3" borderId="8" xfId="0" applyNumberFormat="1" applyFont="1" applyFill="1" applyBorder="1" applyAlignment="1">
      <alignment horizontal="left"/>
    </xf>
    <xf numFmtId="0" fontId="19" fillId="2" borderId="7" xfId="0" applyFont="1" applyFill="1" applyBorder="1" applyAlignment="1">
      <alignment horizontal="left"/>
    </xf>
    <xf numFmtId="0" fontId="19" fillId="2" borderId="6" xfId="0" applyFont="1" applyFill="1" applyBorder="1" applyAlignment="1">
      <alignment horizontal="left"/>
    </xf>
    <xf numFmtId="44" fontId="19" fillId="2" borderId="29" xfId="0" applyNumberFormat="1" applyFont="1" applyFill="1" applyBorder="1" applyAlignment="1">
      <alignment horizontal="left"/>
    </xf>
    <xf numFmtId="0" fontId="15" fillId="2" borderId="6" xfId="0" applyFont="1" applyFill="1" applyBorder="1"/>
    <xf numFmtId="0" fontId="22" fillId="2" borderId="5" xfId="0" applyFont="1" applyFill="1" applyBorder="1" applyAlignment="1">
      <alignment horizontal="center"/>
    </xf>
    <xf numFmtId="44" fontId="23" fillId="3" borderId="7" xfId="0" applyNumberFormat="1" applyFont="1" applyFill="1" applyBorder="1" applyAlignment="1">
      <alignment horizontal="left"/>
    </xf>
    <xf numFmtId="0" fontId="21" fillId="2" borderId="32" xfId="0" applyFont="1" applyFill="1" applyBorder="1"/>
    <xf numFmtId="44" fontId="23" fillId="2" borderId="29" xfId="0" applyNumberFormat="1" applyFont="1" applyFill="1" applyBorder="1" applyAlignment="1">
      <alignment horizontal="left"/>
    </xf>
    <xf numFmtId="0" fontId="21" fillId="2" borderId="11" xfId="0" applyFont="1" applyFill="1" applyBorder="1" applyAlignment="1">
      <alignment horizontal="center"/>
    </xf>
    <xf numFmtId="44" fontId="23" fillId="2" borderId="7" xfId="0" applyNumberFormat="1" applyFont="1" applyFill="1" applyBorder="1" applyAlignment="1">
      <alignment horizontal="left"/>
    </xf>
    <xf numFmtId="0" fontId="19" fillId="2" borderId="8" xfId="0" applyFont="1" applyFill="1" applyBorder="1"/>
    <xf numFmtId="0" fontId="24" fillId="2" borderId="5" xfId="0" applyFont="1" applyFill="1" applyBorder="1" applyAlignment="1">
      <alignment vertical="top"/>
    </xf>
    <xf numFmtId="0" fontId="11" fillId="0" borderId="0" xfId="0" applyFont="1"/>
    <xf numFmtId="0" fontId="19" fillId="2" borderId="5" xfId="0" applyFont="1" applyFill="1" applyBorder="1" applyAlignment="1">
      <alignment horizontal="left"/>
    </xf>
    <xf numFmtId="0" fontId="21" fillId="2" borderId="7" xfId="0" applyFont="1" applyFill="1" applyBorder="1" applyAlignment="1">
      <alignment horizontal="center"/>
    </xf>
    <xf numFmtId="0" fontId="11" fillId="0" borderId="19" xfId="0" applyFont="1" applyBorder="1"/>
    <xf numFmtId="0" fontId="25" fillId="2" borderId="7" xfId="0" applyFont="1" applyFill="1" applyBorder="1"/>
    <xf numFmtId="0" fontId="5" fillId="2" borderId="21" xfId="0" applyFont="1" applyFill="1" applyBorder="1"/>
    <xf numFmtId="0" fontId="5" fillId="2" borderId="23" xfId="0" applyFont="1" applyFill="1" applyBorder="1"/>
    <xf numFmtId="0" fontId="5" fillId="0" borderId="0" xfId="0" applyFont="1"/>
    <xf numFmtId="0" fontId="5" fillId="2" borderId="9" xfId="0" applyFont="1" applyFill="1" applyBorder="1"/>
    <xf numFmtId="0" fontId="5" fillId="2" borderId="6" xfId="0" applyFont="1" applyFill="1" applyBorder="1"/>
    <xf numFmtId="0" fontId="5" fillId="2" borderId="22" xfId="0" applyFont="1" applyFill="1" applyBorder="1"/>
    <xf numFmtId="0" fontId="4" fillId="0" borderId="31"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8" xfId="0" applyFont="1" applyBorder="1" applyAlignment="1">
      <alignment horizontal="center"/>
    </xf>
    <xf numFmtId="0" fontId="4" fillId="0" borderId="3" xfId="0" applyFont="1" applyBorder="1" applyAlignment="1">
      <alignment horizontal="center"/>
    </xf>
    <xf numFmtId="0" fontId="26" fillId="4" borderId="28" xfId="0" applyFont="1" applyFill="1" applyBorder="1"/>
    <xf numFmtId="0" fontId="26" fillId="2" borderId="5" xfId="0" applyFont="1" applyFill="1" applyBorder="1"/>
    <xf numFmtId="0" fontId="5" fillId="5" borderId="29" xfId="0" applyFont="1" applyFill="1" applyBorder="1"/>
    <xf numFmtId="0" fontId="5" fillId="5" borderId="11" xfId="0" applyFont="1" applyFill="1" applyBorder="1" applyAlignment="1">
      <alignment horizontal="center"/>
    </xf>
    <xf numFmtId="44" fontId="5" fillId="5" borderId="7" xfId="0" applyNumberFormat="1" applyFont="1" applyFill="1" applyBorder="1" applyAlignment="1">
      <alignment horizontal="center"/>
    </xf>
    <xf numFmtId="44" fontId="5" fillId="0" borderId="31" xfId="0" applyNumberFormat="1" applyFont="1" applyBorder="1" applyAlignment="1">
      <alignment horizontal="center"/>
    </xf>
    <xf numFmtId="0" fontId="4" fillId="2" borderId="6" xfId="0" applyFont="1" applyFill="1" applyBorder="1"/>
    <xf numFmtId="0" fontId="4" fillId="0" borderId="0" xfId="0" applyFont="1"/>
    <xf numFmtId="0" fontId="5" fillId="5" borderId="29" xfId="0" applyFont="1" applyFill="1" applyBorder="1" applyAlignment="1">
      <alignment horizontal="left"/>
    </xf>
    <xf numFmtId="0" fontId="4" fillId="2" borderId="29" xfId="0" applyFont="1" applyFill="1" applyBorder="1"/>
    <xf numFmtId="0" fontId="4" fillId="0" borderId="10" xfId="0" applyFont="1" applyBorder="1" applyAlignment="1">
      <alignment horizontal="center"/>
    </xf>
    <xf numFmtId="44" fontId="4" fillId="0" borderId="20" xfId="0" applyNumberFormat="1" applyFont="1" applyBorder="1" applyAlignment="1">
      <alignment horizontal="center"/>
    </xf>
    <xf numFmtId="165" fontId="4" fillId="0" borderId="20" xfId="0" applyNumberFormat="1" applyFont="1" applyBorder="1" applyAlignment="1">
      <alignment horizontal="center"/>
    </xf>
    <xf numFmtId="0" fontId="4" fillId="2" borderId="32" xfId="0" applyFont="1" applyFill="1" applyBorder="1"/>
    <xf numFmtId="0" fontId="4" fillId="2" borderId="9" xfId="0" applyFont="1" applyFill="1" applyBorder="1"/>
    <xf numFmtId="0" fontId="4" fillId="2" borderId="9" xfId="0" applyFont="1" applyFill="1" applyBorder="1" applyAlignment="1">
      <alignment horizontal="center"/>
    </xf>
    <xf numFmtId="44" fontId="27" fillId="2" borderId="8" xfId="0" applyNumberFormat="1" applyFont="1" applyFill="1" applyBorder="1" applyAlignment="1">
      <alignment horizontal="center"/>
    </xf>
    <xf numFmtId="165" fontId="27" fillId="2" borderId="8" xfId="0" applyNumberFormat="1" applyFont="1" applyFill="1" applyBorder="1" applyAlignment="1">
      <alignment horizontal="center"/>
    </xf>
    <xf numFmtId="0" fontId="4" fillId="0" borderId="37" xfId="0" applyFont="1" applyBorder="1" applyAlignment="1">
      <alignment horizontal="center"/>
    </xf>
    <xf numFmtId="0" fontId="4" fillId="2" borderId="32" xfId="0" applyFont="1" applyFill="1" applyBorder="1" applyAlignment="1">
      <alignment horizontal="center"/>
    </xf>
    <xf numFmtId="0" fontId="5" fillId="2" borderId="8" xfId="0" applyFont="1" applyFill="1" applyBorder="1" applyAlignment="1">
      <alignment horizontal="center"/>
    </xf>
    <xf numFmtId="0" fontId="5" fillId="0" borderId="31" xfId="0" applyFont="1" applyBorder="1"/>
    <xf numFmtId="0" fontId="5" fillId="2" borderId="32" xfId="0" applyFont="1" applyFill="1" applyBorder="1" applyAlignment="1">
      <alignment horizontal="center"/>
    </xf>
    <xf numFmtId="44" fontId="5" fillId="5" borderId="8" xfId="0" applyNumberFormat="1" applyFont="1" applyFill="1" applyBorder="1" applyAlignment="1">
      <alignment horizontal="center"/>
    </xf>
    <xf numFmtId="44" fontId="5" fillId="0" borderId="20" xfId="0" applyNumberFormat="1" applyFont="1" applyBorder="1" applyAlignment="1">
      <alignment horizontal="center"/>
    </xf>
    <xf numFmtId="44" fontId="5" fillId="5" borderId="14" xfId="0" applyNumberFormat="1" applyFont="1" applyFill="1" applyBorder="1" applyAlignment="1">
      <alignment horizontal="center"/>
    </xf>
    <xf numFmtId="44" fontId="5" fillId="0" borderId="28" xfId="0" applyNumberFormat="1" applyFont="1" applyBorder="1" applyAlignment="1">
      <alignment horizontal="center"/>
    </xf>
    <xf numFmtId="10" fontId="5" fillId="5" borderId="8" xfId="0" applyNumberFormat="1" applyFont="1" applyFill="1" applyBorder="1" applyAlignment="1">
      <alignment horizontal="center"/>
    </xf>
    <xf numFmtId="10" fontId="5" fillId="0" borderId="20" xfId="0" applyNumberFormat="1" applyFont="1" applyBorder="1" applyAlignment="1">
      <alignment horizontal="center"/>
    </xf>
    <xf numFmtId="0" fontId="5" fillId="2" borderId="11" xfId="0" applyFont="1" applyFill="1" applyBorder="1"/>
    <xf numFmtId="0" fontId="4" fillId="2" borderId="7" xfId="0" applyFont="1" applyFill="1" applyBorder="1"/>
    <xf numFmtId="0" fontId="4" fillId="2" borderId="22" xfId="0" applyFont="1" applyFill="1" applyBorder="1"/>
    <xf numFmtId="0" fontId="26" fillId="6" borderId="28" xfId="0" applyFont="1" applyFill="1" applyBorder="1"/>
    <xf numFmtId="0" fontId="28" fillId="2" borderId="6" xfId="0" applyFont="1" applyFill="1" applyBorder="1"/>
    <xf numFmtId="44" fontId="4" fillId="2" borderId="6" xfId="0" applyNumberFormat="1" applyFont="1" applyFill="1" applyBorder="1" applyAlignment="1">
      <alignment horizontal="center"/>
    </xf>
    <xf numFmtId="44" fontId="4" fillId="2" borderId="6" xfId="0" applyNumberFormat="1" applyFont="1" applyFill="1" applyBorder="1"/>
    <xf numFmtId="2" fontId="4" fillId="2" borderId="6" xfId="0" applyNumberFormat="1" applyFont="1" applyFill="1" applyBorder="1" applyAlignment="1">
      <alignment horizontal="center"/>
    </xf>
    <xf numFmtId="2" fontId="4" fillId="2" borderId="8" xfId="0" applyNumberFormat="1" applyFont="1" applyFill="1" applyBorder="1" applyAlignment="1">
      <alignment horizontal="center"/>
    </xf>
    <xf numFmtId="0" fontId="29" fillId="2" borderId="7" xfId="0" applyFont="1" applyFill="1" applyBorder="1"/>
    <xf numFmtId="0" fontId="29" fillId="2" borderId="5" xfId="0" applyFont="1" applyFill="1" applyBorder="1"/>
    <xf numFmtId="0" fontId="12" fillId="2" borderId="21" xfId="0" applyFont="1" applyFill="1" applyBorder="1" applyAlignment="1">
      <alignment horizontal="center"/>
    </xf>
    <xf numFmtId="0" fontId="25" fillId="2" borderId="5" xfId="0" applyFont="1" applyFill="1" applyBorder="1"/>
    <xf numFmtId="0" fontId="15" fillId="2" borderId="9" xfId="0" applyFont="1" applyFill="1" applyBorder="1" applyAlignment="1">
      <alignment horizontal="center"/>
    </xf>
    <xf numFmtId="0" fontId="26" fillId="2" borderId="6" xfId="0" applyFont="1" applyFill="1" applyBorder="1" applyAlignment="1">
      <alignment horizontal="center"/>
    </xf>
    <xf numFmtId="0" fontId="11" fillId="2" borderId="6" xfId="0" applyFont="1" applyFill="1" applyBorder="1" applyAlignment="1">
      <alignment horizontal="center"/>
    </xf>
    <xf numFmtId="0" fontId="11" fillId="2" borderId="9" xfId="0" applyFont="1" applyFill="1" applyBorder="1" applyAlignment="1">
      <alignment horizontal="center"/>
    </xf>
    <xf numFmtId="0" fontId="15" fillId="2" borderId="7" xfId="0" applyFont="1" applyFill="1" applyBorder="1"/>
    <xf numFmtId="0" fontId="31" fillId="2" borderId="6" xfId="0" applyFont="1" applyFill="1" applyBorder="1"/>
    <xf numFmtId="44" fontId="11" fillId="2" borderId="29" xfId="0" applyNumberFormat="1" applyFont="1" applyFill="1" applyBorder="1"/>
    <xf numFmtId="44" fontId="11" fillId="3" borderId="29" xfId="0" applyNumberFormat="1" applyFont="1" applyFill="1" applyBorder="1"/>
    <xf numFmtId="44" fontId="11" fillId="3" borderId="8" xfId="0" applyNumberFormat="1" applyFont="1" applyFill="1" applyBorder="1"/>
    <xf numFmtId="0" fontId="25" fillId="2" borderId="6" xfId="0" applyFont="1" applyFill="1" applyBorder="1"/>
    <xf numFmtId="0" fontId="11" fillId="0" borderId="4" xfId="0" applyFont="1" applyBorder="1"/>
    <xf numFmtId="0" fontId="31" fillId="2" borderId="5" xfId="0" applyFont="1" applyFill="1" applyBorder="1"/>
    <xf numFmtId="0" fontId="15" fillId="2" borderId="9" xfId="0" applyFont="1" applyFill="1" applyBorder="1" applyAlignment="1">
      <alignment horizontal="right"/>
    </xf>
    <xf numFmtId="0" fontId="15" fillId="2" borderId="6" xfId="0" applyFont="1" applyFill="1" applyBorder="1" applyAlignment="1">
      <alignment horizontal="right"/>
    </xf>
    <xf numFmtId="44" fontId="15" fillId="2" borderId="8" xfId="0" applyNumberFormat="1" applyFont="1" applyFill="1" applyBorder="1" applyAlignment="1">
      <alignment horizontal="right"/>
    </xf>
    <xf numFmtId="44" fontId="11" fillId="2" borderId="13" xfId="0" applyNumberFormat="1" applyFont="1" applyFill="1" applyBorder="1"/>
    <xf numFmtId="44" fontId="11" fillId="2" borderId="8" xfId="0" applyNumberFormat="1" applyFont="1" applyFill="1" applyBorder="1"/>
    <xf numFmtId="0" fontId="26" fillId="2" borderId="5" xfId="0" applyFont="1" applyFill="1" applyBorder="1" applyAlignment="1">
      <alignment horizontal="center"/>
    </xf>
    <xf numFmtId="0" fontId="31" fillId="3" borderId="32" xfId="0" applyFont="1" applyFill="1" applyBorder="1"/>
    <xf numFmtId="0" fontId="31" fillId="3" borderId="29" xfId="0" applyFont="1" applyFill="1" applyBorder="1"/>
    <xf numFmtId="44" fontId="15" fillId="2" borderId="8" xfId="0" applyNumberFormat="1" applyFont="1" applyFill="1" applyBorder="1"/>
    <xf numFmtId="0" fontId="31" fillId="2" borderId="6" xfId="0" applyFont="1" applyFill="1" applyBorder="1" applyAlignment="1">
      <alignment horizontal="center"/>
    </xf>
    <xf numFmtId="44" fontId="15" fillId="2" borderId="28" xfId="0" applyNumberFormat="1" applyFont="1" applyFill="1" applyBorder="1" applyAlignment="1">
      <alignment horizontal="right"/>
    </xf>
    <xf numFmtId="0" fontId="31" fillId="0" borderId="0" xfId="0" applyFont="1"/>
    <xf numFmtId="0" fontId="31" fillId="3" borderId="45" xfId="0" applyFont="1" applyFill="1" applyBorder="1"/>
    <xf numFmtId="0" fontId="31" fillId="2" borderId="7" xfId="0" applyFont="1" applyFill="1" applyBorder="1"/>
    <xf numFmtId="0" fontId="32" fillId="2" borderId="6" xfId="0" applyFont="1" applyFill="1" applyBorder="1"/>
    <xf numFmtId="0" fontId="11" fillId="2" borderId="7" xfId="0" applyFont="1" applyFill="1" applyBorder="1" applyAlignment="1">
      <alignment horizontal="center"/>
    </xf>
    <xf numFmtId="44" fontId="11" fillId="3" borderId="8" xfId="0" applyNumberFormat="1" applyFont="1" applyFill="1" applyBorder="1" applyAlignment="1"/>
    <xf numFmtId="0" fontId="31" fillId="3" borderId="32" xfId="0" applyFont="1" applyFill="1" applyBorder="1" applyAlignment="1"/>
    <xf numFmtId="0" fontId="15" fillId="2" borderId="11" xfId="0" applyFont="1" applyFill="1" applyBorder="1" applyAlignment="1">
      <alignment horizontal="right"/>
    </xf>
    <xf numFmtId="0" fontId="15" fillId="2" borderId="7" xfId="0" applyFont="1" applyFill="1" applyBorder="1" applyAlignment="1">
      <alignment horizontal="right"/>
    </xf>
    <xf numFmtId="0" fontId="31" fillId="2" borderId="8" xfId="0" applyFont="1" applyFill="1" applyBorder="1"/>
    <xf numFmtId="0" fontId="2" fillId="0" borderId="1" xfId="0" applyFont="1" applyBorder="1" applyAlignment="1">
      <alignment horizontal="center"/>
    </xf>
    <xf numFmtId="0" fontId="3" fillId="0" borderId="2" xfId="0" applyFont="1" applyBorder="1"/>
    <xf numFmtId="0" fontId="3" fillId="0" borderId="3" xfId="0" applyFont="1" applyBorder="1"/>
    <xf numFmtId="0" fontId="1" fillId="0" borderId="15" xfId="0" applyFont="1" applyBorder="1" applyAlignment="1">
      <alignment horizontal="center"/>
    </xf>
    <xf numFmtId="0" fontId="3" fillId="0" borderId="16" xfId="0" applyFont="1" applyBorder="1"/>
    <xf numFmtId="0" fontId="3" fillId="0" borderId="17" xfId="0" applyFont="1" applyBorder="1"/>
    <xf numFmtId="0" fontId="12" fillId="2" borderId="24" xfId="0" applyFont="1" applyFill="1" applyBorder="1" applyAlignment="1">
      <alignment horizontal="center"/>
    </xf>
    <xf numFmtId="0" fontId="3" fillId="0" borderId="25" xfId="0" applyFont="1" applyBorder="1"/>
    <xf numFmtId="0" fontId="11" fillId="2" borderId="24" xfId="0" applyFont="1" applyFill="1" applyBorder="1" applyAlignment="1">
      <alignment horizontal="center"/>
    </xf>
    <xf numFmtId="0" fontId="14" fillId="0" borderId="0" xfId="0" applyFont="1"/>
    <xf numFmtId="0" fontId="0" fillId="0" borderId="0" xfId="0" applyFont="1" applyAlignment="1"/>
    <xf numFmtId="0" fontId="15" fillId="2" borderId="24" xfId="0" applyFont="1" applyFill="1" applyBorder="1"/>
    <xf numFmtId="0" fontId="15" fillId="2" borderId="24" xfId="0" applyFont="1" applyFill="1" applyBorder="1" applyAlignment="1">
      <alignment horizontal="left"/>
    </xf>
    <xf numFmtId="0" fontId="16" fillId="2" borderId="26" xfId="0" applyFont="1" applyFill="1" applyBorder="1" applyAlignment="1">
      <alignment horizontal="center"/>
    </xf>
    <xf numFmtId="0" fontId="3" fillId="0" borderId="27" xfId="0" applyFont="1" applyBorder="1"/>
    <xf numFmtId="0" fontId="5" fillId="2" borderId="15" xfId="0" applyFont="1" applyFill="1" applyBorder="1" applyAlignment="1">
      <alignment horizontal="left"/>
    </xf>
    <xf numFmtId="0" fontId="3" fillId="0" borderId="4" xfId="0" applyFont="1" applyBorder="1"/>
    <xf numFmtId="0" fontId="3" fillId="0" borderId="10" xfId="0" applyFont="1" applyBorder="1"/>
    <xf numFmtId="0" fontId="3" fillId="0" borderId="18" xfId="0" applyFont="1" applyBorder="1"/>
    <xf numFmtId="0" fontId="3" fillId="0" borderId="19" xfId="0" applyFont="1" applyBorder="1"/>
    <xf numFmtId="0" fontId="3" fillId="0" borderId="20" xfId="0" applyFont="1" applyBorder="1"/>
    <xf numFmtId="0" fontId="22" fillId="2" borderId="30" xfId="0" applyFont="1" applyFill="1" applyBorder="1" applyAlignment="1">
      <alignment horizontal="center"/>
    </xf>
    <xf numFmtId="0" fontId="3" fillId="0" borderId="31" xfId="0" applyFont="1" applyBorder="1"/>
    <xf numFmtId="0" fontId="20" fillId="2" borderId="26" xfId="0" applyFont="1" applyFill="1" applyBorder="1" applyAlignment="1">
      <alignment horizontal="center"/>
    </xf>
    <xf numFmtId="0" fontId="1" fillId="0" borderId="2" xfId="0" applyFont="1" applyBorder="1"/>
    <xf numFmtId="0" fontId="4" fillId="2" borderId="15" xfId="0" applyFont="1" applyFill="1" applyBorder="1" applyAlignment="1">
      <alignment horizontal="center"/>
    </xf>
    <xf numFmtId="0" fontId="15" fillId="2" borderId="33" xfId="0" applyFont="1" applyFill="1" applyBorder="1"/>
    <xf numFmtId="0" fontId="3" fillId="0" borderId="34" xfId="0" applyFont="1" applyBorder="1"/>
    <xf numFmtId="0" fontId="11" fillId="2" borderId="1" xfId="0" applyFont="1" applyFill="1" applyBorder="1"/>
    <xf numFmtId="0" fontId="1" fillId="0" borderId="19" xfId="0" applyFont="1" applyBorder="1"/>
    <xf numFmtId="0" fontId="15" fillId="2" borderId="1" xfId="0" applyFont="1" applyFill="1" applyBorder="1" applyAlignment="1">
      <alignment horizontal="right"/>
    </xf>
    <xf numFmtId="0" fontId="15" fillId="2" borderId="1" xfId="0" applyFont="1" applyFill="1" applyBorder="1"/>
    <xf numFmtId="0" fontId="11" fillId="2" borderId="24" xfId="0" applyFont="1" applyFill="1" applyBorder="1"/>
    <xf numFmtId="0" fontId="15" fillId="2" borderId="35" xfId="0" applyFont="1" applyFill="1" applyBorder="1" applyAlignment="1">
      <alignment horizontal="right"/>
    </xf>
    <xf numFmtId="0" fontId="3" fillId="0" borderId="36" xfId="0" applyFont="1" applyBorder="1"/>
    <xf numFmtId="0" fontId="4" fillId="2" borderId="24" xfId="0" applyFont="1" applyFill="1" applyBorder="1" applyAlignment="1">
      <alignment horizontal="left"/>
    </xf>
    <xf numFmtId="0" fontId="4" fillId="0" borderId="1" xfId="0" applyFont="1" applyBorder="1" applyAlignment="1">
      <alignment horizontal="center"/>
    </xf>
    <xf numFmtId="0" fontId="4" fillId="0" borderId="15" xfId="0" applyFont="1" applyBorder="1" applyAlignment="1">
      <alignment horizontal="center"/>
    </xf>
    <xf numFmtId="0" fontId="4" fillId="2" borderId="38" xfId="0" applyFont="1" applyFill="1" applyBorder="1" applyAlignment="1">
      <alignment horizontal="center"/>
    </xf>
    <xf numFmtId="0" fontId="3" fillId="0" borderId="39" xfId="0" applyFont="1" applyBorder="1"/>
    <xf numFmtId="0" fontId="4" fillId="2" borderId="33" xfId="0" applyFont="1" applyFill="1" applyBorder="1"/>
    <xf numFmtId="0" fontId="4" fillId="2" borderId="35" xfId="0" applyFont="1" applyFill="1" applyBorder="1"/>
    <xf numFmtId="0" fontId="3" fillId="0" borderId="40" xfId="0" applyFont="1" applyBorder="1"/>
    <xf numFmtId="0" fontId="30" fillId="2" borderId="24" xfId="0" applyFont="1" applyFill="1" applyBorder="1" applyAlignment="1">
      <alignment horizontal="left"/>
    </xf>
    <xf numFmtId="0" fontId="15" fillId="2" borderId="41" xfId="0" applyFont="1" applyFill="1" applyBorder="1" applyAlignment="1">
      <alignment vertical="top"/>
    </xf>
    <xf numFmtId="0" fontId="3" fillId="0" borderId="42" xfId="0" applyFont="1" applyBorder="1"/>
    <xf numFmtId="0" fontId="3" fillId="0" borderId="43" xfId="0" applyFont="1" applyBorder="1"/>
    <xf numFmtId="0" fontId="4" fillId="2" borderId="44" xfId="0" applyFont="1" applyFill="1" applyBorder="1" applyAlignment="1">
      <alignment horizontal="center"/>
    </xf>
    <xf numFmtId="0" fontId="5" fillId="3" borderId="44" xfId="0" applyFont="1" applyFill="1" applyBorder="1" applyAlignment="1">
      <alignment horizontal="center"/>
    </xf>
    <xf numFmtId="0" fontId="3" fillId="0" borderId="37" xfId="0" applyFont="1" applyBorder="1"/>
    <xf numFmtId="0" fontId="31" fillId="3" borderId="30" xfId="0" applyFont="1" applyFill="1" applyBorder="1" applyAlignment="1"/>
    <xf numFmtId="0" fontId="31" fillId="3" borderId="30" xfId="0" applyFont="1" applyFill="1" applyBorder="1"/>
    <xf numFmtId="0" fontId="31" fillId="3" borderId="44" xfId="0" applyFont="1" applyFill="1" applyBorder="1"/>
    <xf numFmtId="0" fontId="12" fillId="2" borderId="26" xfId="0" applyFont="1" applyFill="1" applyBorder="1" applyAlignment="1">
      <alignment horizontal="center"/>
    </xf>
    <xf numFmtId="0" fontId="15" fillId="2" borderId="44" xfId="0" applyFont="1" applyFill="1" applyBorder="1" applyAlignment="1">
      <alignment horizontal="center"/>
    </xf>
    <xf numFmtId="0" fontId="1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000"/>
  <sheetViews>
    <sheetView tabSelected="1" workbookViewId="0"/>
  </sheetViews>
  <sheetFormatPr defaultColWidth="12.5703125" defaultRowHeight="15" customHeight="1" x14ac:dyDescent="0.2"/>
  <cols>
    <col min="1" max="2" width="27.7109375" customWidth="1"/>
    <col min="3" max="3" width="13.42578125" customWidth="1"/>
  </cols>
  <sheetData>
    <row r="1" spans="1:9" ht="15.75" customHeight="1" x14ac:dyDescent="0.2">
      <c r="A1" s="1"/>
      <c r="B1" s="1"/>
    </row>
    <row r="2" spans="1:9" ht="15.75" customHeight="1" x14ac:dyDescent="0.25">
      <c r="A2" s="1"/>
      <c r="B2" s="206" t="s">
        <v>0</v>
      </c>
      <c r="C2" s="207"/>
      <c r="D2" s="207"/>
      <c r="E2" s="207"/>
      <c r="F2" s="207"/>
      <c r="G2" s="208"/>
    </row>
    <row r="3" spans="1:9" ht="15.75" customHeight="1" x14ac:dyDescent="0.25">
      <c r="B3" s="2"/>
      <c r="C3" s="3" t="s">
        <v>1</v>
      </c>
      <c r="D3" s="3" t="s">
        <v>2</v>
      </c>
      <c r="E3" s="3" t="s">
        <v>3</v>
      </c>
      <c r="F3" s="3" t="s">
        <v>4</v>
      </c>
      <c r="G3" s="4" t="s">
        <v>5</v>
      </c>
    </row>
    <row r="4" spans="1:9" ht="15.75" customHeight="1" x14ac:dyDescent="0.25">
      <c r="B4" s="2"/>
      <c r="C4" s="5" t="s">
        <v>6</v>
      </c>
      <c r="D4" s="5" t="s">
        <v>7</v>
      </c>
      <c r="E4" s="5" t="s">
        <v>8</v>
      </c>
      <c r="F4" s="5" t="s">
        <v>9</v>
      </c>
      <c r="G4" s="6" t="s">
        <v>10</v>
      </c>
    </row>
    <row r="5" spans="1:9" ht="15.75" customHeight="1" x14ac:dyDescent="0.25">
      <c r="A5" s="7"/>
      <c r="B5" s="8" t="s">
        <v>11</v>
      </c>
      <c r="C5" s="9">
        <f t="shared" ref="C5:G5" si="0">E23</f>
        <v>6462.0267873034709</v>
      </c>
      <c r="D5" s="9">
        <f t="shared" si="0"/>
        <v>6591.2673230495411</v>
      </c>
      <c r="E5" s="9">
        <f t="shared" si="0"/>
        <v>6723.0926695105327</v>
      </c>
      <c r="F5" s="9">
        <f t="shared" si="0"/>
        <v>6857.554522900743</v>
      </c>
      <c r="G5" s="10">
        <f t="shared" si="0"/>
        <v>6994.7056133587575</v>
      </c>
    </row>
    <row r="6" spans="1:9" ht="15.75" customHeight="1" x14ac:dyDescent="0.25">
      <c r="A6" s="11"/>
      <c r="B6" s="12" t="s">
        <v>12</v>
      </c>
      <c r="C6" s="13">
        <f t="shared" ref="C6:G6" si="1">E35</f>
        <v>2710.14</v>
      </c>
      <c r="D6" s="13">
        <f t="shared" si="1"/>
        <v>2764.3427999999999</v>
      </c>
      <c r="E6" s="13">
        <f t="shared" si="1"/>
        <v>2819.6296560000001</v>
      </c>
      <c r="F6" s="13">
        <f t="shared" si="1"/>
        <v>2876.0222491200002</v>
      </c>
      <c r="G6" s="14">
        <f t="shared" si="1"/>
        <v>2933.5426941024002</v>
      </c>
    </row>
    <row r="7" spans="1:9" ht="15.75" customHeight="1" x14ac:dyDescent="0.25">
      <c r="A7" s="7"/>
      <c r="B7" s="15" t="s">
        <v>13</v>
      </c>
      <c r="C7" s="16">
        <v>1500</v>
      </c>
      <c r="D7" s="16">
        <v>1500</v>
      </c>
      <c r="E7" s="16">
        <v>1500</v>
      </c>
      <c r="F7" s="16">
        <v>1500</v>
      </c>
      <c r="G7" s="17">
        <v>1500</v>
      </c>
    </row>
    <row r="8" spans="1:9" ht="15.75" customHeight="1" x14ac:dyDescent="0.25">
      <c r="A8" s="7"/>
      <c r="B8" s="18" t="s">
        <v>14</v>
      </c>
      <c r="C8" s="19">
        <f t="shared" ref="C8:G8" si="2">C7+C5</f>
        <v>7962.0267873034709</v>
      </c>
      <c r="D8" s="19">
        <f t="shared" si="2"/>
        <v>8091.2673230495411</v>
      </c>
      <c r="E8" s="19">
        <f t="shared" si="2"/>
        <v>8223.0926695105336</v>
      </c>
      <c r="F8" s="19">
        <f t="shared" si="2"/>
        <v>8357.5545229007439</v>
      </c>
      <c r="G8" s="20">
        <f t="shared" si="2"/>
        <v>8494.7056133587575</v>
      </c>
    </row>
    <row r="9" spans="1:9" ht="15.75" customHeight="1" x14ac:dyDescent="0.25">
      <c r="A9" s="7"/>
      <c r="B9" s="21" t="s">
        <v>15</v>
      </c>
      <c r="C9" s="22">
        <f t="shared" ref="C9:G9" si="3">SUM(C4:C7)</f>
        <v>10672.166787303471</v>
      </c>
      <c r="D9" s="22">
        <f t="shared" si="3"/>
        <v>10855.610123049541</v>
      </c>
      <c r="E9" s="22">
        <f t="shared" si="3"/>
        <v>11042.722325510533</v>
      </c>
      <c r="F9" s="22">
        <f t="shared" si="3"/>
        <v>11233.576772020744</v>
      </c>
      <c r="G9" s="23">
        <f t="shared" si="3"/>
        <v>11428.248307461157</v>
      </c>
    </row>
    <row r="10" spans="1:9" ht="15.75" customHeight="1" x14ac:dyDescent="0.2"/>
    <row r="11" spans="1:9" ht="15.75" customHeight="1" x14ac:dyDescent="0.2"/>
    <row r="12" spans="1:9" ht="15.75" customHeight="1" x14ac:dyDescent="0.2"/>
    <row r="13" spans="1:9" ht="15.75" customHeight="1" x14ac:dyDescent="0.2">
      <c r="A13" s="1"/>
      <c r="B13" s="1" t="s">
        <v>16</v>
      </c>
    </row>
    <row r="14" spans="1:9" ht="15.75" customHeight="1" x14ac:dyDescent="0.2">
      <c r="E14" s="209" t="s">
        <v>17</v>
      </c>
      <c r="F14" s="210"/>
      <c r="G14" s="210"/>
      <c r="H14" s="210"/>
      <c r="I14" s="211"/>
    </row>
    <row r="15" spans="1:9" ht="15.75" customHeight="1" x14ac:dyDescent="0.2">
      <c r="C15" s="1" t="s">
        <v>18</v>
      </c>
      <c r="D15" s="1" t="s">
        <v>19</v>
      </c>
      <c r="E15" s="24" t="s">
        <v>20</v>
      </c>
      <c r="F15" s="25" t="s">
        <v>21</v>
      </c>
      <c r="G15" s="25" t="s">
        <v>22</v>
      </c>
      <c r="H15" s="25" t="s">
        <v>23</v>
      </c>
      <c r="I15" s="26" t="s">
        <v>24</v>
      </c>
    </row>
    <row r="16" spans="1:9" ht="15.75" customHeight="1" x14ac:dyDescent="0.2">
      <c r="A16" s="27"/>
      <c r="B16" s="27" t="s">
        <v>25</v>
      </c>
    </row>
    <row r="17" spans="1:9" ht="15.75" customHeight="1" x14ac:dyDescent="0.2">
      <c r="A17" s="1"/>
      <c r="B17" s="1" t="s">
        <v>26</v>
      </c>
      <c r="C17" s="1">
        <v>16855</v>
      </c>
      <c r="D17" s="1">
        <v>1</v>
      </c>
      <c r="E17" s="1">
        <v>1</v>
      </c>
      <c r="F17" s="1">
        <v>1</v>
      </c>
      <c r="G17" s="1">
        <v>1</v>
      </c>
      <c r="H17" s="1">
        <v>1</v>
      </c>
      <c r="I17" s="1">
        <v>1</v>
      </c>
    </row>
    <row r="18" spans="1:9" ht="15.75" customHeight="1" x14ac:dyDescent="0.2">
      <c r="A18" s="1"/>
      <c r="B18" s="1" t="s">
        <v>27</v>
      </c>
      <c r="C18" s="1">
        <v>0</v>
      </c>
      <c r="D18" s="1" t="s">
        <v>28</v>
      </c>
      <c r="E18" s="1" t="s">
        <v>28</v>
      </c>
      <c r="F18" s="1" t="s">
        <v>28</v>
      </c>
      <c r="G18" s="1" t="s">
        <v>28</v>
      </c>
      <c r="H18" s="1" t="s">
        <v>28</v>
      </c>
      <c r="I18" s="1" t="s">
        <v>28</v>
      </c>
    </row>
    <row r="19" spans="1:9" ht="15.75" customHeight="1" x14ac:dyDescent="0.2">
      <c r="A19" s="1"/>
      <c r="B19" s="1" t="s">
        <v>29</v>
      </c>
      <c r="C19" s="1">
        <v>2.6599999999999999E-2</v>
      </c>
      <c r="D19" s="1">
        <v>2.6599999999999999E-2</v>
      </c>
      <c r="E19" s="1">
        <v>2.6599999999999999E-2</v>
      </c>
      <c r="F19" s="1">
        <v>2.6599999999999999E-2</v>
      </c>
      <c r="G19" s="1">
        <v>2.6599999999999999E-2</v>
      </c>
      <c r="H19" s="1">
        <v>2.6599999999999999E-2</v>
      </c>
      <c r="I19" s="1">
        <v>2.6599999999999999E-2</v>
      </c>
    </row>
    <row r="20" spans="1:9" ht="15.75" customHeight="1" x14ac:dyDescent="0.2"/>
    <row r="21" spans="1:9" ht="15.75" customHeight="1" x14ac:dyDescent="0.2">
      <c r="A21" s="1"/>
      <c r="B21" s="1" t="s">
        <v>30</v>
      </c>
      <c r="C21" s="28">
        <v>105089273</v>
      </c>
      <c r="D21" s="28">
        <f>C21/C17</f>
        <v>6234.9019875407894</v>
      </c>
      <c r="E21" s="28">
        <f t="shared" ref="E21:I21" si="4">D21*1.02</f>
        <v>6359.6000272916053</v>
      </c>
      <c r="F21" s="28">
        <f t="shared" si="4"/>
        <v>6486.7920278374377</v>
      </c>
      <c r="G21" s="28">
        <f t="shared" si="4"/>
        <v>6616.527868394187</v>
      </c>
      <c r="H21" s="28">
        <f t="shared" si="4"/>
        <v>6748.8584257620705</v>
      </c>
      <c r="I21" s="28">
        <f t="shared" si="4"/>
        <v>6883.8355942773123</v>
      </c>
    </row>
    <row r="22" spans="1:9" ht="15.75" customHeight="1" x14ac:dyDescent="0.2">
      <c r="A22" s="1"/>
      <c r="B22" s="1" t="s">
        <v>31</v>
      </c>
      <c r="C22" s="28">
        <v>1692552</v>
      </c>
      <c r="D22" s="28">
        <f>C22/C17</f>
        <v>100.418392168496</v>
      </c>
      <c r="E22" s="28">
        <f t="shared" ref="E22:I22" si="5">D22*1.02</f>
        <v>102.42676001186592</v>
      </c>
      <c r="F22" s="28">
        <f t="shared" si="5"/>
        <v>104.47529521210325</v>
      </c>
      <c r="G22" s="28">
        <f t="shared" si="5"/>
        <v>106.56480111634531</v>
      </c>
      <c r="H22" s="28">
        <f t="shared" si="5"/>
        <v>108.69609713867222</v>
      </c>
      <c r="I22" s="28">
        <f t="shared" si="5"/>
        <v>110.87001908144566</v>
      </c>
    </row>
    <row r="23" spans="1:9" ht="15.75" customHeight="1" x14ac:dyDescent="0.2">
      <c r="A23" s="29"/>
      <c r="B23" s="29" t="s">
        <v>32</v>
      </c>
      <c r="C23" s="30">
        <v>106781825</v>
      </c>
      <c r="D23" s="30">
        <f t="shared" ref="D23:I23" si="6">D22+D21</f>
        <v>6335.3203797092856</v>
      </c>
      <c r="E23" s="30">
        <f t="shared" si="6"/>
        <v>6462.0267873034709</v>
      </c>
      <c r="F23" s="30">
        <f t="shared" si="6"/>
        <v>6591.2673230495411</v>
      </c>
      <c r="G23" s="30">
        <f t="shared" si="6"/>
        <v>6723.0926695105327</v>
      </c>
      <c r="H23" s="30">
        <f t="shared" si="6"/>
        <v>6857.554522900743</v>
      </c>
      <c r="I23" s="30">
        <f t="shared" si="6"/>
        <v>6994.7056133587575</v>
      </c>
    </row>
    <row r="24" spans="1:9" ht="15.75" customHeight="1" x14ac:dyDescent="0.2">
      <c r="A24" s="1"/>
      <c r="B24" s="1" t="s">
        <v>33</v>
      </c>
      <c r="C24" s="28">
        <v>11231246</v>
      </c>
      <c r="D24" s="28">
        <f>C24/C17</f>
        <v>666.34506081281518</v>
      </c>
      <c r="E24" s="28">
        <f t="shared" ref="E24:I24" si="7">D24*1.02</f>
        <v>679.67196202907144</v>
      </c>
      <c r="F24" s="28">
        <f t="shared" si="7"/>
        <v>693.2654012696529</v>
      </c>
      <c r="G24" s="28">
        <f t="shared" si="7"/>
        <v>707.13070929504602</v>
      </c>
      <c r="H24" s="28">
        <f t="shared" si="7"/>
        <v>721.27332348094694</v>
      </c>
      <c r="I24" s="28">
        <f t="shared" si="7"/>
        <v>735.69878995056592</v>
      </c>
    </row>
    <row r="25" spans="1:9" ht="15.75" customHeight="1" x14ac:dyDescent="0.2">
      <c r="A25" s="1"/>
      <c r="B25" s="1" t="s">
        <v>34</v>
      </c>
      <c r="C25" s="28">
        <v>1665250</v>
      </c>
      <c r="D25" s="28">
        <f>C25/C17</f>
        <v>98.798576090180958</v>
      </c>
      <c r="E25" s="28">
        <f t="shared" ref="E25:I25" si="8">D25*0.102</f>
        <v>10.077454761198457</v>
      </c>
      <c r="F25" s="28">
        <f t="shared" si="8"/>
        <v>1.0279003856422426</v>
      </c>
      <c r="G25" s="28">
        <f t="shared" si="8"/>
        <v>0.10484583933550874</v>
      </c>
      <c r="H25" s="28">
        <f t="shared" si="8"/>
        <v>1.0694275612221891E-2</v>
      </c>
      <c r="I25" s="28">
        <f t="shared" si="8"/>
        <v>1.0908161124466328E-3</v>
      </c>
    </row>
    <row r="26" spans="1:9" ht="15.75" customHeight="1" x14ac:dyDescent="0.2">
      <c r="A26" s="1"/>
      <c r="B26" s="1" t="s">
        <v>35</v>
      </c>
      <c r="C26" s="28">
        <v>857800</v>
      </c>
      <c r="D26" s="28">
        <f>C26/C17</f>
        <v>50.892910115692672</v>
      </c>
      <c r="E26" s="28">
        <f t="shared" ref="E26:I26" si="9">D26*1.02</f>
        <v>51.910768318006525</v>
      </c>
      <c r="F26" s="28">
        <f t="shared" si="9"/>
        <v>52.948983684366659</v>
      </c>
      <c r="G26" s="28">
        <f t="shared" si="9"/>
        <v>54.007963358053992</v>
      </c>
      <c r="H26" s="28">
        <f t="shared" si="9"/>
        <v>55.088122625215071</v>
      </c>
      <c r="I26" s="28">
        <f t="shared" si="9"/>
        <v>56.189885077719374</v>
      </c>
    </row>
    <row r="27" spans="1:9" ht="15.75" customHeight="1" x14ac:dyDescent="0.2">
      <c r="A27" s="31"/>
      <c r="B27" s="31" t="s">
        <v>36</v>
      </c>
      <c r="C27" s="32">
        <v>120536121</v>
      </c>
      <c r="D27" s="32">
        <f>C27/C17</f>
        <v>7151.3569267279736</v>
      </c>
      <c r="E27" s="32">
        <f t="shared" ref="E27:I27" si="10">E26+E25+E24+E23</f>
        <v>7203.6869724117478</v>
      </c>
      <c r="F27" s="32">
        <f t="shared" si="10"/>
        <v>7338.5096083892031</v>
      </c>
      <c r="G27" s="32">
        <f t="shared" si="10"/>
        <v>7484.3361880029679</v>
      </c>
      <c r="H27" s="32">
        <f t="shared" si="10"/>
        <v>7633.9266632825174</v>
      </c>
      <c r="I27" s="32">
        <f t="shared" si="10"/>
        <v>7786.5953792031551</v>
      </c>
    </row>
    <row r="28" spans="1:9" ht="15.75" customHeight="1" x14ac:dyDescent="0.2">
      <c r="A28" s="1"/>
      <c r="B28" s="1" t="s">
        <v>37</v>
      </c>
      <c r="C28" s="28">
        <v>7151</v>
      </c>
      <c r="D28" s="28" t="s">
        <v>28</v>
      </c>
      <c r="E28" s="28" t="s">
        <v>28</v>
      </c>
      <c r="F28" s="28" t="s">
        <v>28</v>
      </c>
      <c r="G28" s="28" t="s">
        <v>28</v>
      </c>
      <c r="H28" s="28" t="s">
        <v>28</v>
      </c>
      <c r="I28" s="28" t="s">
        <v>28</v>
      </c>
    </row>
    <row r="29" spans="1:9" ht="15.75" customHeight="1" x14ac:dyDescent="0.2">
      <c r="A29" s="1"/>
      <c r="B29" s="1" t="s">
        <v>38</v>
      </c>
      <c r="C29" s="28">
        <v>300588</v>
      </c>
      <c r="D29" s="28">
        <f>C29/C17</f>
        <v>17.833758528626522</v>
      </c>
      <c r="E29" s="28">
        <f t="shared" ref="E29:I29" si="11">D29*1.02</f>
        <v>18.190433699199051</v>
      </c>
      <c r="F29" s="28">
        <f t="shared" si="11"/>
        <v>18.554242373183033</v>
      </c>
      <c r="G29" s="28">
        <f t="shared" si="11"/>
        <v>18.925327220646693</v>
      </c>
      <c r="H29" s="28">
        <f t="shared" si="11"/>
        <v>19.303833765059629</v>
      </c>
      <c r="I29" s="28">
        <f t="shared" si="11"/>
        <v>19.689910440360823</v>
      </c>
    </row>
    <row r="30" spans="1:9" ht="15.75" customHeight="1" x14ac:dyDescent="0.2">
      <c r="B30" s="1" t="s">
        <v>39</v>
      </c>
      <c r="C30" s="28"/>
      <c r="D30" s="28"/>
      <c r="E30" s="28"/>
      <c r="F30" s="28"/>
      <c r="G30" s="28"/>
      <c r="H30" s="28"/>
      <c r="I30" s="28"/>
    </row>
    <row r="31" spans="1:9" ht="15.75" customHeight="1" x14ac:dyDescent="0.2"/>
    <row r="32" spans="1:9" ht="15.75" customHeight="1" x14ac:dyDescent="0.2">
      <c r="A32" s="1"/>
      <c r="B32" s="1" t="s">
        <v>40</v>
      </c>
      <c r="E32" s="209" t="s">
        <v>17</v>
      </c>
      <c r="F32" s="210"/>
      <c r="G32" s="210"/>
      <c r="H32" s="210"/>
      <c r="I32" s="211"/>
    </row>
    <row r="33" spans="1:9" ht="15.75" customHeight="1" x14ac:dyDescent="0.2">
      <c r="C33" s="1" t="s">
        <v>41</v>
      </c>
      <c r="D33" s="1" t="s">
        <v>18</v>
      </c>
      <c r="E33" s="24" t="s">
        <v>20</v>
      </c>
      <c r="F33" s="25" t="s">
        <v>21</v>
      </c>
      <c r="G33" s="25" t="s">
        <v>22</v>
      </c>
      <c r="H33" s="25" t="s">
        <v>23</v>
      </c>
      <c r="I33" s="26" t="s">
        <v>24</v>
      </c>
    </row>
    <row r="34" spans="1:9" ht="15.75" customHeight="1" x14ac:dyDescent="0.2">
      <c r="A34" s="1"/>
      <c r="B34" s="1" t="s">
        <v>42</v>
      </c>
      <c r="C34" s="1">
        <v>9614</v>
      </c>
      <c r="D34" s="1">
        <v>10575</v>
      </c>
      <c r="E34" s="28">
        <f t="shared" ref="E34:I34" si="12">D34*1.02</f>
        <v>10786.5</v>
      </c>
      <c r="F34" s="28">
        <f t="shared" si="12"/>
        <v>11002.23</v>
      </c>
      <c r="G34" s="28">
        <f t="shared" si="12"/>
        <v>11222.274600000001</v>
      </c>
      <c r="H34" s="28">
        <f t="shared" si="12"/>
        <v>11446.720092000001</v>
      </c>
      <c r="I34" s="28">
        <f t="shared" si="12"/>
        <v>11675.654493840002</v>
      </c>
    </row>
    <row r="35" spans="1:9" ht="15.75" customHeight="1" x14ac:dyDescent="0.2">
      <c r="A35" s="1"/>
      <c r="B35" s="1" t="s">
        <v>43</v>
      </c>
      <c r="C35" s="1">
        <v>2415</v>
      </c>
      <c r="D35" s="1">
        <v>2657</v>
      </c>
      <c r="E35" s="28">
        <f t="shared" ref="E35:I35" si="13">D35*1.02</f>
        <v>2710.14</v>
      </c>
      <c r="F35" s="28">
        <f t="shared" si="13"/>
        <v>2764.3427999999999</v>
      </c>
      <c r="G35" s="28">
        <f t="shared" si="13"/>
        <v>2819.6296560000001</v>
      </c>
      <c r="H35" s="28">
        <f t="shared" si="13"/>
        <v>2876.0222491200002</v>
      </c>
      <c r="I35" s="28">
        <f t="shared" si="13"/>
        <v>2933.5426941024002</v>
      </c>
    </row>
    <row r="36" spans="1:9" ht="15.75" customHeight="1" x14ac:dyDescent="0.2">
      <c r="A36" s="1"/>
      <c r="B36" s="1" t="s">
        <v>44</v>
      </c>
      <c r="C36" s="1">
        <v>500</v>
      </c>
      <c r="D36" s="1">
        <v>500</v>
      </c>
      <c r="E36" s="28">
        <f t="shared" ref="E36:I36" si="14">D36*1.02</f>
        <v>510</v>
      </c>
      <c r="F36" s="28">
        <f t="shared" si="14"/>
        <v>520.20000000000005</v>
      </c>
      <c r="G36" s="28">
        <f t="shared" si="14"/>
        <v>530.60400000000004</v>
      </c>
      <c r="H36" s="28">
        <f t="shared" si="14"/>
        <v>541.21608000000003</v>
      </c>
      <c r="I36" s="28">
        <f t="shared" si="14"/>
        <v>552.0404016</v>
      </c>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B2:G2"/>
    <mergeCell ref="E14:I14"/>
    <mergeCell ref="E32:I3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1000"/>
  <sheetViews>
    <sheetView workbookViewId="0"/>
  </sheetViews>
  <sheetFormatPr defaultColWidth="12.5703125" defaultRowHeight="15" customHeight="1" x14ac:dyDescent="0.2"/>
  <cols>
    <col min="1" max="1" width="3.140625" customWidth="1"/>
    <col min="2" max="2" width="3" customWidth="1"/>
    <col min="3" max="3" width="31.42578125" customWidth="1"/>
  </cols>
  <sheetData>
    <row r="1" spans="1:17" ht="15.75" customHeight="1" x14ac:dyDescent="0.25">
      <c r="A1" s="33"/>
      <c r="B1" s="34"/>
      <c r="C1" s="34"/>
      <c r="D1" s="34"/>
      <c r="E1" s="34"/>
      <c r="F1" s="34"/>
      <c r="G1" s="34"/>
      <c r="H1" s="34"/>
      <c r="I1" s="34"/>
      <c r="J1" s="34"/>
      <c r="K1" s="34"/>
      <c r="L1" s="34"/>
      <c r="M1" s="34"/>
      <c r="N1" s="34"/>
      <c r="O1" s="34"/>
      <c r="P1" s="34"/>
      <c r="Q1" s="35"/>
    </row>
    <row r="2" spans="1:17" ht="15.75" customHeight="1" x14ac:dyDescent="0.3">
      <c r="A2" s="36"/>
      <c r="B2" s="37"/>
      <c r="C2" s="212" t="s">
        <v>45</v>
      </c>
      <c r="D2" s="213"/>
      <c r="E2" s="213"/>
      <c r="F2" s="213"/>
      <c r="G2" s="213"/>
      <c r="H2" s="213"/>
      <c r="I2" s="38"/>
      <c r="J2" s="38"/>
      <c r="K2" s="38"/>
      <c r="L2" s="38"/>
      <c r="M2" s="38"/>
      <c r="N2" s="38"/>
      <c r="O2" s="38"/>
      <c r="P2" s="39"/>
      <c r="Q2" s="40"/>
    </row>
    <row r="3" spans="1:17" ht="15.75" customHeight="1" x14ac:dyDescent="0.25">
      <c r="A3" s="36"/>
      <c r="B3" s="37"/>
      <c r="C3" s="214" t="s">
        <v>46</v>
      </c>
      <c r="D3" s="213"/>
      <c r="E3" s="213"/>
      <c r="F3" s="213"/>
      <c r="G3" s="213"/>
      <c r="H3" s="213"/>
      <c r="I3" s="39"/>
      <c r="J3" s="39"/>
      <c r="K3" s="39"/>
      <c r="L3" s="39"/>
      <c r="M3" s="39"/>
      <c r="N3" s="39"/>
      <c r="O3" s="39"/>
      <c r="P3" s="39"/>
      <c r="Q3" s="40"/>
    </row>
    <row r="4" spans="1:17" ht="15.75" customHeight="1" x14ac:dyDescent="0.25">
      <c r="A4" s="36"/>
      <c r="B4" s="37"/>
      <c r="C4" s="215"/>
      <c r="D4" s="216"/>
      <c r="E4" s="216"/>
      <c r="F4" s="216"/>
      <c r="G4" s="216"/>
      <c r="H4" s="216"/>
      <c r="I4" s="41"/>
      <c r="J4" s="42"/>
      <c r="K4" s="42"/>
      <c r="L4" s="42"/>
      <c r="M4" s="42"/>
      <c r="N4" s="42"/>
      <c r="O4" s="42"/>
      <c r="P4" s="37"/>
      <c r="Q4" s="40"/>
    </row>
    <row r="5" spans="1:17" ht="15.75" customHeight="1" x14ac:dyDescent="0.25">
      <c r="A5" s="36"/>
      <c r="B5" s="37"/>
      <c r="C5" s="43" t="s">
        <v>47</v>
      </c>
      <c r="D5" s="37"/>
      <c r="E5" s="217" t="s">
        <v>48</v>
      </c>
      <c r="F5" s="213"/>
      <c r="G5" s="37"/>
      <c r="H5" s="37"/>
      <c r="I5" s="37"/>
      <c r="J5" s="37"/>
      <c r="K5" s="37"/>
      <c r="L5" s="37"/>
      <c r="M5" s="37"/>
      <c r="N5" s="37"/>
      <c r="O5" s="37"/>
      <c r="P5" s="37"/>
      <c r="Q5" s="40"/>
    </row>
    <row r="6" spans="1:17" ht="15.75" customHeight="1" x14ac:dyDescent="0.25">
      <c r="A6" s="36"/>
      <c r="B6" s="37"/>
      <c r="C6" s="43" t="s">
        <v>49</v>
      </c>
      <c r="D6" s="37"/>
      <c r="E6" s="44">
        <v>2023</v>
      </c>
      <c r="F6" s="37"/>
      <c r="G6" s="37"/>
      <c r="H6" s="42"/>
      <c r="I6" s="42"/>
      <c r="J6" s="42"/>
      <c r="K6" s="42"/>
      <c r="L6" s="42"/>
      <c r="M6" s="42"/>
      <c r="N6" s="42"/>
      <c r="O6" s="42"/>
      <c r="P6" s="37"/>
      <c r="Q6" s="40"/>
    </row>
    <row r="7" spans="1:17" ht="15.75" customHeight="1" x14ac:dyDescent="0.25">
      <c r="A7" s="36"/>
      <c r="B7" s="37"/>
      <c r="C7" s="43" t="s">
        <v>50</v>
      </c>
      <c r="D7" s="37"/>
      <c r="E7" s="218" t="s">
        <v>25</v>
      </c>
      <c r="F7" s="213"/>
      <c r="G7" s="37"/>
      <c r="H7" s="42"/>
      <c r="I7" s="42"/>
      <c r="J7" s="42"/>
      <c r="K7" s="42"/>
      <c r="L7" s="42"/>
      <c r="M7" s="42"/>
      <c r="N7" s="42"/>
      <c r="O7" s="42"/>
      <c r="P7" s="37"/>
      <c r="Q7" s="40"/>
    </row>
    <row r="8" spans="1:17" ht="15.75" customHeight="1" x14ac:dyDescent="0.25">
      <c r="A8" s="36"/>
      <c r="B8" s="37"/>
      <c r="C8" s="43"/>
      <c r="D8" s="37"/>
      <c r="E8" s="44"/>
      <c r="F8" s="37"/>
      <c r="G8" s="37"/>
      <c r="H8" s="42"/>
      <c r="I8" s="42"/>
      <c r="J8" s="42"/>
      <c r="K8" s="42"/>
      <c r="L8" s="42"/>
      <c r="M8" s="42"/>
      <c r="N8" s="42"/>
      <c r="O8" s="42"/>
      <c r="P8" s="37"/>
      <c r="Q8" s="40"/>
    </row>
    <row r="9" spans="1:17" ht="15.75" customHeight="1" x14ac:dyDescent="0.25">
      <c r="A9" s="36"/>
      <c r="B9" s="37"/>
      <c r="C9" s="43"/>
      <c r="D9" s="37"/>
      <c r="E9" s="44"/>
      <c r="F9" s="37"/>
      <c r="G9" s="37"/>
      <c r="H9" s="42"/>
      <c r="I9" s="42"/>
      <c r="J9" s="42"/>
      <c r="K9" s="42"/>
      <c r="L9" s="42"/>
      <c r="M9" s="42"/>
      <c r="N9" s="42"/>
      <c r="O9" s="42"/>
      <c r="P9" s="37"/>
      <c r="Q9" s="40"/>
    </row>
    <row r="10" spans="1:17" ht="15.75" customHeight="1" x14ac:dyDescent="0.25">
      <c r="A10" s="36"/>
      <c r="B10" s="37"/>
      <c r="C10" s="45"/>
      <c r="D10" s="45"/>
      <c r="E10" s="45"/>
      <c r="F10" s="45"/>
      <c r="G10" s="45"/>
      <c r="H10" s="45"/>
      <c r="I10" s="45"/>
      <c r="J10" s="45"/>
      <c r="K10" s="45"/>
      <c r="L10" s="45"/>
      <c r="M10" s="45"/>
      <c r="N10" s="45"/>
      <c r="O10" s="45"/>
      <c r="P10" s="45"/>
      <c r="Q10" s="40"/>
    </row>
    <row r="11" spans="1:17" ht="15.75" customHeight="1" x14ac:dyDescent="0.25">
      <c r="A11" s="36"/>
      <c r="B11" s="33"/>
      <c r="C11" s="46" t="s">
        <v>51</v>
      </c>
      <c r="D11" s="46" t="s">
        <v>6</v>
      </c>
      <c r="E11" s="46" t="s">
        <v>7</v>
      </c>
      <c r="F11" s="46" t="s">
        <v>8</v>
      </c>
      <c r="G11" s="46" t="s">
        <v>9</v>
      </c>
      <c r="H11" s="47" t="s">
        <v>10</v>
      </c>
      <c r="I11" s="46"/>
      <c r="J11" s="219" t="s">
        <v>52</v>
      </c>
      <c r="K11" s="220"/>
      <c r="L11" s="220"/>
      <c r="M11" s="220"/>
      <c r="N11" s="220"/>
      <c r="O11" s="220"/>
      <c r="P11" s="48"/>
      <c r="Q11" s="40"/>
    </row>
    <row r="12" spans="1:17" ht="15.75" customHeight="1" x14ac:dyDescent="0.25">
      <c r="A12" s="36"/>
      <c r="B12" s="36"/>
      <c r="C12" s="3"/>
      <c r="D12" s="46"/>
      <c r="E12" s="46"/>
      <c r="F12" s="46"/>
      <c r="G12" s="46"/>
      <c r="H12" s="5"/>
      <c r="I12" s="3"/>
      <c r="J12" s="3"/>
      <c r="K12" s="3"/>
      <c r="L12" s="3"/>
      <c r="M12" s="3"/>
      <c r="N12" s="3"/>
      <c r="O12" s="3"/>
      <c r="P12" s="4"/>
      <c r="Q12" s="40"/>
    </row>
    <row r="13" spans="1:17" ht="15.75" customHeight="1" x14ac:dyDescent="0.25">
      <c r="A13" s="36"/>
      <c r="B13" s="36"/>
      <c r="C13" s="49" t="s">
        <v>53</v>
      </c>
      <c r="D13" s="50">
        <v>54</v>
      </c>
      <c r="E13" s="50">
        <v>54</v>
      </c>
      <c r="F13" s="50">
        <v>54</v>
      </c>
      <c r="G13" s="50">
        <v>54</v>
      </c>
      <c r="H13" s="51">
        <v>54</v>
      </c>
      <c r="I13" s="7"/>
      <c r="J13" s="221"/>
      <c r="K13" s="210"/>
      <c r="L13" s="210"/>
      <c r="M13" s="210"/>
      <c r="N13" s="210"/>
      <c r="O13" s="211"/>
      <c r="P13" s="52"/>
      <c r="Q13" s="40"/>
    </row>
    <row r="14" spans="1:17" ht="15.75" customHeight="1" x14ac:dyDescent="0.25">
      <c r="A14" s="36"/>
      <c r="B14" s="36"/>
      <c r="C14" s="49" t="s">
        <v>54</v>
      </c>
      <c r="D14" s="51">
        <v>54</v>
      </c>
      <c r="E14" s="51">
        <v>54</v>
      </c>
      <c r="F14" s="51">
        <v>54</v>
      </c>
      <c r="G14" s="51">
        <v>54</v>
      </c>
      <c r="H14" s="51">
        <v>54</v>
      </c>
      <c r="I14" s="7"/>
      <c r="J14" s="222"/>
      <c r="K14" s="216"/>
      <c r="L14" s="216"/>
      <c r="M14" s="216"/>
      <c r="N14" s="216"/>
      <c r="O14" s="223"/>
      <c r="P14" s="52"/>
      <c r="Q14" s="40"/>
    </row>
    <row r="15" spans="1:17" ht="15.75" customHeight="1" x14ac:dyDescent="0.25">
      <c r="A15" s="36"/>
      <c r="B15" s="36"/>
      <c r="C15" s="49" t="s">
        <v>55</v>
      </c>
      <c r="D15" s="51">
        <v>54</v>
      </c>
      <c r="E15" s="51">
        <v>54</v>
      </c>
      <c r="F15" s="51">
        <v>54</v>
      </c>
      <c r="G15" s="51">
        <v>54</v>
      </c>
      <c r="H15" s="51">
        <v>54</v>
      </c>
      <c r="I15" s="7"/>
      <c r="J15" s="222"/>
      <c r="K15" s="216"/>
      <c r="L15" s="216"/>
      <c r="M15" s="216"/>
      <c r="N15" s="216"/>
      <c r="O15" s="223"/>
      <c r="P15" s="52"/>
      <c r="Q15" s="40"/>
    </row>
    <row r="16" spans="1:17" ht="15.75" customHeight="1" x14ac:dyDescent="0.25">
      <c r="A16" s="36"/>
      <c r="B16" s="36"/>
      <c r="C16" s="49" t="s">
        <v>56</v>
      </c>
      <c r="D16" s="51">
        <v>54</v>
      </c>
      <c r="E16" s="51">
        <v>54</v>
      </c>
      <c r="F16" s="51">
        <v>54</v>
      </c>
      <c r="G16" s="51">
        <v>54</v>
      </c>
      <c r="H16" s="51">
        <v>54</v>
      </c>
      <c r="I16" s="7"/>
      <c r="J16" s="222"/>
      <c r="K16" s="216"/>
      <c r="L16" s="216"/>
      <c r="M16" s="216"/>
      <c r="N16" s="216"/>
      <c r="O16" s="223"/>
      <c r="P16" s="52"/>
      <c r="Q16" s="40"/>
    </row>
    <row r="17" spans="1:17" ht="15.75" customHeight="1" x14ac:dyDescent="0.25">
      <c r="A17" s="36"/>
      <c r="B17" s="36"/>
      <c r="C17" s="49" t="s">
        <v>57</v>
      </c>
      <c r="D17" s="51">
        <v>54</v>
      </c>
      <c r="E17" s="51">
        <v>54</v>
      </c>
      <c r="F17" s="51">
        <v>54</v>
      </c>
      <c r="G17" s="51">
        <v>54</v>
      </c>
      <c r="H17" s="51">
        <v>54</v>
      </c>
      <c r="I17" s="7"/>
      <c r="J17" s="222"/>
      <c r="K17" s="216"/>
      <c r="L17" s="216"/>
      <c r="M17" s="216"/>
      <c r="N17" s="216"/>
      <c r="O17" s="223"/>
      <c r="P17" s="52"/>
      <c r="Q17" s="40"/>
    </row>
    <row r="18" spans="1:17" ht="15.75" customHeight="1" x14ac:dyDescent="0.25">
      <c r="A18" s="36"/>
      <c r="B18" s="36"/>
      <c r="C18" s="49" t="s">
        <v>58</v>
      </c>
      <c r="D18" s="51">
        <v>54</v>
      </c>
      <c r="E18" s="51">
        <v>54</v>
      </c>
      <c r="F18" s="51">
        <v>54</v>
      </c>
      <c r="G18" s="51">
        <v>54</v>
      </c>
      <c r="H18" s="51">
        <v>54</v>
      </c>
      <c r="I18" s="7"/>
      <c r="J18" s="222"/>
      <c r="K18" s="216"/>
      <c r="L18" s="216"/>
      <c r="M18" s="216"/>
      <c r="N18" s="216"/>
      <c r="O18" s="223"/>
      <c r="P18" s="52"/>
      <c r="Q18" s="40"/>
    </row>
    <row r="19" spans="1:17" ht="15.75" customHeight="1" x14ac:dyDescent="0.25">
      <c r="A19" s="36"/>
      <c r="B19" s="36"/>
      <c r="C19" s="49" t="s">
        <v>59</v>
      </c>
      <c r="D19" s="51">
        <v>52</v>
      </c>
      <c r="E19" s="51">
        <v>54</v>
      </c>
      <c r="F19" s="51">
        <v>54</v>
      </c>
      <c r="G19" s="51">
        <v>54</v>
      </c>
      <c r="H19" s="51">
        <v>54</v>
      </c>
      <c r="I19" s="7"/>
      <c r="J19" s="222"/>
      <c r="K19" s="216"/>
      <c r="L19" s="216"/>
      <c r="M19" s="216"/>
      <c r="N19" s="216"/>
      <c r="O19" s="223"/>
      <c r="P19" s="52"/>
      <c r="Q19" s="40"/>
    </row>
    <row r="20" spans="1:17" ht="15.75" customHeight="1" x14ac:dyDescent="0.25">
      <c r="A20" s="36"/>
      <c r="B20" s="36"/>
      <c r="C20" s="49" t="s">
        <v>60</v>
      </c>
      <c r="D20" s="51">
        <v>0</v>
      </c>
      <c r="E20" s="51">
        <v>52</v>
      </c>
      <c r="F20" s="51">
        <v>54</v>
      </c>
      <c r="G20" s="51">
        <v>54</v>
      </c>
      <c r="H20" s="51">
        <v>54</v>
      </c>
      <c r="I20" s="7"/>
      <c r="J20" s="222"/>
      <c r="K20" s="216"/>
      <c r="L20" s="216"/>
      <c r="M20" s="216"/>
      <c r="N20" s="216"/>
      <c r="O20" s="223"/>
      <c r="P20" s="52"/>
      <c r="Q20" s="40"/>
    </row>
    <row r="21" spans="1:17" ht="15.75" customHeight="1" x14ac:dyDescent="0.25">
      <c r="A21" s="36"/>
      <c r="B21" s="36"/>
      <c r="C21" s="49" t="s">
        <v>61</v>
      </c>
      <c r="D21" s="51">
        <v>0</v>
      </c>
      <c r="E21" s="51">
        <v>0</v>
      </c>
      <c r="F21" s="51">
        <v>54</v>
      </c>
      <c r="G21" s="51">
        <v>54</v>
      </c>
      <c r="H21" s="51">
        <v>54</v>
      </c>
      <c r="I21" s="7"/>
      <c r="J21" s="222"/>
      <c r="K21" s="216"/>
      <c r="L21" s="216"/>
      <c r="M21" s="216"/>
      <c r="N21" s="216"/>
      <c r="O21" s="223"/>
      <c r="P21" s="52"/>
      <c r="Q21" s="40"/>
    </row>
    <row r="22" spans="1:17" ht="15.75" customHeight="1" x14ac:dyDescent="0.25">
      <c r="A22" s="36"/>
      <c r="B22" s="36"/>
      <c r="C22" s="49" t="s">
        <v>62</v>
      </c>
      <c r="D22" s="51">
        <v>0</v>
      </c>
      <c r="E22" s="51">
        <v>0</v>
      </c>
      <c r="F22" s="51">
        <v>0</v>
      </c>
      <c r="G22" s="51">
        <v>52</v>
      </c>
      <c r="H22" s="51">
        <v>54</v>
      </c>
      <c r="I22" s="7"/>
      <c r="J22" s="222"/>
      <c r="K22" s="216"/>
      <c r="L22" s="216"/>
      <c r="M22" s="216"/>
      <c r="N22" s="216"/>
      <c r="O22" s="223"/>
      <c r="P22" s="52"/>
      <c r="Q22" s="40"/>
    </row>
    <row r="23" spans="1:17" ht="15.75" customHeight="1" x14ac:dyDescent="0.25">
      <c r="A23" s="36"/>
      <c r="B23" s="36"/>
      <c r="C23" s="49" t="s">
        <v>63</v>
      </c>
      <c r="D23" s="51">
        <v>0</v>
      </c>
      <c r="E23" s="51">
        <v>0</v>
      </c>
      <c r="F23" s="51">
        <v>0</v>
      </c>
      <c r="G23" s="51">
        <v>0</v>
      </c>
      <c r="H23" s="51">
        <v>52</v>
      </c>
      <c r="I23" s="7"/>
      <c r="J23" s="222"/>
      <c r="K23" s="216"/>
      <c r="L23" s="216"/>
      <c r="M23" s="216"/>
      <c r="N23" s="216"/>
      <c r="O23" s="223"/>
      <c r="P23" s="52"/>
      <c r="Q23" s="40"/>
    </row>
    <row r="24" spans="1:17" ht="15.75" customHeight="1" x14ac:dyDescent="0.25">
      <c r="A24" s="36"/>
      <c r="B24" s="36"/>
      <c r="C24" s="49" t="s">
        <v>64</v>
      </c>
      <c r="D24" s="51">
        <v>0</v>
      </c>
      <c r="E24" s="51">
        <v>0</v>
      </c>
      <c r="F24" s="51">
        <v>0</v>
      </c>
      <c r="G24" s="51">
        <v>0</v>
      </c>
      <c r="H24" s="51">
        <v>0</v>
      </c>
      <c r="I24" s="7"/>
      <c r="J24" s="222"/>
      <c r="K24" s="216"/>
      <c r="L24" s="216"/>
      <c r="M24" s="216"/>
      <c r="N24" s="216"/>
      <c r="O24" s="223"/>
      <c r="P24" s="52"/>
      <c r="Q24" s="40"/>
    </row>
    <row r="25" spans="1:17" ht="15.75" customHeight="1" x14ac:dyDescent="0.25">
      <c r="A25" s="36"/>
      <c r="B25" s="36"/>
      <c r="C25" s="49" t="s">
        <v>65</v>
      </c>
      <c r="D25" s="51">
        <v>0</v>
      </c>
      <c r="E25" s="51">
        <v>0</v>
      </c>
      <c r="F25" s="51">
        <v>0</v>
      </c>
      <c r="G25" s="51">
        <v>0</v>
      </c>
      <c r="H25" s="51">
        <v>0</v>
      </c>
      <c r="I25" s="7"/>
      <c r="J25" s="222"/>
      <c r="K25" s="216"/>
      <c r="L25" s="216"/>
      <c r="M25" s="216"/>
      <c r="N25" s="216"/>
      <c r="O25" s="223"/>
      <c r="P25" s="52"/>
      <c r="Q25" s="40"/>
    </row>
    <row r="26" spans="1:17" ht="15.75" customHeight="1" x14ac:dyDescent="0.25">
      <c r="A26" s="36"/>
      <c r="B26" s="36"/>
      <c r="C26" s="7"/>
      <c r="D26" s="7"/>
      <c r="E26" s="7"/>
      <c r="F26" s="7"/>
      <c r="G26" s="7"/>
      <c r="H26" s="7"/>
      <c r="I26" s="7"/>
      <c r="J26" s="222"/>
      <c r="K26" s="216"/>
      <c r="L26" s="216"/>
      <c r="M26" s="216"/>
      <c r="N26" s="216"/>
      <c r="O26" s="223"/>
      <c r="P26" s="52"/>
      <c r="Q26" s="40"/>
    </row>
    <row r="27" spans="1:17" ht="15.75" customHeight="1" x14ac:dyDescent="0.25">
      <c r="A27" s="36"/>
      <c r="B27" s="36"/>
      <c r="C27" s="3" t="s">
        <v>66</v>
      </c>
      <c r="D27" s="53">
        <f t="shared" ref="D27:H27" si="0">SUM(D13:D25)</f>
        <v>376</v>
      </c>
      <c r="E27" s="53">
        <f t="shared" si="0"/>
        <v>430</v>
      </c>
      <c r="F27" s="53">
        <f t="shared" si="0"/>
        <v>486</v>
      </c>
      <c r="G27" s="53">
        <f t="shared" si="0"/>
        <v>538</v>
      </c>
      <c r="H27" s="53">
        <f t="shared" si="0"/>
        <v>592</v>
      </c>
      <c r="I27" s="7"/>
      <c r="J27" s="222"/>
      <c r="K27" s="216"/>
      <c r="L27" s="216"/>
      <c r="M27" s="216"/>
      <c r="N27" s="216"/>
      <c r="O27" s="223"/>
      <c r="P27" s="52"/>
      <c r="Q27" s="40"/>
    </row>
    <row r="28" spans="1:17" ht="15.75" customHeight="1" x14ac:dyDescent="0.25">
      <c r="A28" s="36"/>
      <c r="B28" s="36"/>
      <c r="C28" s="7"/>
      <c r="D28" s="7"/>
      <c r="E28" s="7"/>
      <c r="F28" s="7"/>
      <c r="G28" s="7"/>
      <c r="H28" s="7"/>
      <c r="I28" s="7"/>
      <c r="J28" s="222"/>
      <c r="K28" s="216"/>
      <c r="L28" s="216"/>
      <c r="M28" s="216"/>
      <c r="N28" s="216"/>
      <c r="O28" s="223"/>
      <c r="P28" s="52"/>
      <c r="Q28" s="40"/>
    </row>
    <row r="29" spans="1:17" ht="15.75" customHeight="1" x14ac:dyDescent="0.25">
      <c r="A29" s="36"/>
      <c r="B29" s="36"/>
      <c r="C29" s="54"/>
      <c r="D29" s="7"/>
      <c r="E29" s="7"/>
      <c r="F29" s="7"/>
      <c r="G29" s="7"/>
      <c r="H29" s="7"/>
      <c r="I29" s="7"/>
      <c r="J29" s="222"/>
      <c r="K29" s="216"/>
      <c r="L29" s="216"/>
      <c r="M29" s="216"/>
      <c r="N29" s="216"/>
      <c r="O29" s="223"/>
      <c r="P29" s="49"/>
      <c r="Q29" s="40"/>
    </row>
    <row r="30" spans="1:17" ht="15.75" customHeight="1" x14ac:dyDescent="0.25">
      <c r="A30" s="36"/>
      <c r="B30" s="36"/>
      <c r="C30" s="55" t="s">
        <v>67</v>
      </c>
      <c r="D30" s="7"/>
      <c r="E30" s="7"/>
      <c r="F30" s="7"/>
      <c r="G30" s="7"/>
      <c r="H30" s="56"/>
      <c r="I30" s="7"/>
      <c r="J30" s="222"/>
      <c r="K30" s="216"/>
      <c r="L30" s="216"/>
      <c r="M30" s="216"/>
      <c r="N30" s="216"/>
      <c r="O30" s="223"/>
      <c r="P30" s="49"/>
      <c r="Q30" s="40"/>
    </row>
    <row r="31" spans="1:17" ht="15.75" customHeight="1" x14ac:dyDescent="0.25">
      <c r="A31" s="36"/>
      <c r="B31" s="36"/>
      <c r="C31" s="57" t="s">
        <v>68</v>
      </c>
      <c r="D31" s="58">
        <v>0.1</v>
      </c>
      <c r="E31" s="59">
        <v>0.1</v>
      </c>
      <c r="F31" s="59">
        <v>0.1</v>
      </c>
      <c r="G31" s="59">
        <v>0.1</v>
      </c>
      <c r="H31" s="60">
        <v>0.1</v>
      </c>
      <c r="I31" s="7"/>
      <c r="J31" s="222"/>
      <c r="K31" s="216"/>
      <c r="L31" s="216"/>
      <c r="M31" s="216"/>
      <c r="N31" s="216"/>
      <c r="O31" s="223"/>
      <c r="P31" s="49"/>
      <c r="Q31" s="40"/>
    </row>
    <row r="32" spans="1:17" ht="15.75" customHeight="1" x14ac:dyDescent="0.25">
      <c r="A32" s="36"/>
      <c r="B32" s="36"/>
      <c r="C32" s="57" t="s">
        <v>69</v>
      </c>
      <c r="D32" s="61">
        <v>0.04</v>
      </c>
      <c r="E32" s="60">
        <v>0.04</v>
      </c>
      <c r="F32" s="60">
        <v>0.04</v>
      </c>
      <c r="G32" s="60">
        <v>0.04</v>
      </c>
      <c r="H32" s="60">
        <v>0.04</v>
      </c>
      <c r="I32" s="7"/>
      <c r="J32" s="222"/>
      <c r="K32" s="216"/>
      <c r="L32" s="216"/>
      <c r="M32" s="216"/>
      <c r="N32" s="216"/>
      <c r="O32" s="223"/>
      <c r="P32" s="49"/>
      <c r="Q32" s="40"/>
    </row>
    <row r="33" spans="1:17" ht="15.75" customHeight="1" x14ac:dyDescent="0.25">
      <c r="A33" s="36"/>
      <c r="B33" s="36"/>
      <c r="C33" s="57" t="s">
        <v>70</v>
      </c>
      <c r="D33" s="61">
        <v>0.25</v>
      </c>
      <c r="E33" s="60">
        <v>0.25</v>
      </c>
      <c r="F33" s="60">
        <v>0.25</v>
      </c>
      <c r="G33" s="60">
        <v>0.25</v>
      </c>
      <c r="H33" s="60">
        <v>0.25</v>
      </c>
      <c r="I33" s="7"/>
      <c r="J33" s="222"/>
      <c r="K33" s="216"/>
      <c r="L33" s="216"/>
      <c r="M33" s="216"/>
      <c r="N33" s="216"/>
      <c r="O33" s="223"/>
      <c r="P33" s="49"/>
      <c r="Q33" s="40"/>
    </row>
    <row r="34" spans="1:17" ht="15.75" customHeight="1" x14ac:dyDescent="0.25">
      <c r="A34" s="36"/>
      <c r="B34" s="36"/>
      <c r="C34" s="57"/>
      <c r="D34" s="7"/>
      <c r="E34" s="7"/>
      <c r="F34" s="7"/>
      <c r="G34" s="7"/>
      <c r="H34" s="7"/>
      <c r="I34" s="7"/>
      <c r="J34" s="222"/>
      <c r="K34" s="216"/>
      <c r="L34" s="216"/>
      <c r="M34" s="216"/>
      <c r="N34" s="216"/>
      <c r="O34" s="223"/>
      <c r="P34" s="49"/>
      <c r="Q34" s="40"/>
    </row>
    <row r="35" spans="1:17" ht="15.75" customHeight="1" x14ac:dyDescent="0.25">
      <c r="A35" s="36"/>
      <c r="B35" s="36"/>
      <c r="C35" s="54" t="s">
        <v>71</v>
      </c>
      <c r="D35" s="62">
        <f>D27*('State Funding Assumptions'!C5+'State Funding Assumptions'!C7)+((D27*D31)*'State Funding Assumptions'!C6)</f>
        <v>3095623.3360261051</v>
      </c>
      <c r="E35" s="62">
        <f>E27*('State Funding Assumptions'!D5+'State Funding Assumptions'!D7)+((E27*E31)*'State Funding Assumptions'!D6)</f>
        <v>3598111.6893113027</v>
      </c>
      <c r="F35" s="62">
        <f>F27*('State Funding Assumptions'!E5+'State Funding Assumptions'!E7)+((F27*F31)*'State Funding Assumptions'!E6)</f>
        <v>4133457.0386637193</v>
      </c>
      <c r="G35" s="62">
        <f>G27*('State Funding Assumptions'!F5+'State Funding Assumptions'!F7)+((G27*G31)*'State Funding Assumptions'!F6)</f>
        <v>4651094.3303232556</v>
      </c>
      <c r="H35" s="62">
        <f>H27*('State Funding Assumptions'!G5+'State Funding Assumptions'!G7)+((H27*H31)*'State Funding Assumptions'!G6)</f>
        <v>5202531.4505992467</v>
      </c>
      <c r="I35" s="37"/>
      <c r="J35" s="222"/>
      <c r="K35" s="216"/>
      <c r="L35" s="216"/>
      <c r="M35" s="216"/>
      <c r="N35" s="216"/>
      <c r="O35" s="223"/>
      <c r="P35" s="49"/>
      <c r="Q35" s="40"/>
    </row>
    <row r="36" spans="1:17" ht="15.75" customHeight="1" x14ac:dyDescent="0.25">
      <c r="A36" s="36"/>
      <c r="B36" s="36"/>
      <c r="C36" s="54"/>
      <c r="D36" s="7"/>
      <c r="E36" s="7"/>
      <c r="F36" s="7"/>
      <c r="G36" s="7"/>
      <c r="H36" s="7"/>
      <c r="I36" s="7"/>
      <c r="J36" s="224"/>
      <c r="K36" s="225"/>
      <c r="L36" s="225"/>
      <c r="M36" s="225"/>
      <c r="N36" s="225"/>
      <c r="O36" s="226"/>
      <c r="P36" s="49"/>
      <c r="Q36" s="40"/>
    </row>
    <row r="37" spans="1:17" ht="15.75" customHeight="1" x14ac:dyDescent="0.25">
      <c r="A37" s="36"/>
      <c r="B37" s="36"/>
      <c r="C37" s="37"/>
      <c r="D37" s="37"/>
      <c r="E37" s="37"/>
      <c r="F37" s="37"/>
      <c r="G37" s="37"/>
      <c r="H37" s="37"/>
      <c r="I37" s="63"/>
      <c r="J37" s="64"/>
      <c r="K37" s="64"/>
      <c r="L37" s="64"/>
      <c r="M37" s="64"/>
      <c r="N37" s="64"/>
      <c r="O37" s="64"/>
      <c r="P37" s="65"/>
      <c r="Q37" s="40"/>
    </row>
    <row r="38" spans="1:17" ht="15.75" customHeight="1" x14ac:dyDescent="0.25">
      <c r="A38" s="66"/>
      <c r="B38" s="67"/>
      <c r="C38" s="67"/>
      <c r="D38" s="67"/>
      <c r="E38" s="67"/>
      <c r="F38" s="67"/>
      <c r="G38" s="67"/>
      <c r="H38" s="67"/>
      <c r="I38" s="67"/>
      <c r="J38" s="68"/>
      <c r="K38" s="68"/>
      <c r="L38" s="68"/>
      <c r="M38" s="68"/>
      <c r="N38" s="68"/>
      <c r="O38" s="68"/>
      <c r="P38" s="68"/>
      <c r="Q38" s="69"/>
    </row>
    <row r="39" spans="1:17" ht="15.75" customHeight="1" x14ac:dyDescent="0.2"/>
    <row r="40" spans="1:17" ht="15.75" customHeight="1" x14ac:dyDescent="0.2"/>
    <row r="41" spans="1:17" ht="15.75" customHeight="1" x14ac:dyDescent="0.2"/>
    <row r="42" spans="1:17" ht="15.75" customHeight="1" x14ac:dyDescent="0.2"/>
    <row r="43" spans="1:17" ht="15.75" customHeight="1" x14ac:dyDescent="0.2"/>
    <row r="44" spans="1:17" ht="15.75" customHeight="1" x14ac:dyDescent="0.2"/>
    <row r="45" spans="1:17" ht="15.75" customHeight="1" x14ac:dyDescent="0.2"/>
    <row r="46" spans="1:17" ht="15.75" customHeight="1" x14ac:dyDescent="0.2"/>
    <row r="47" spans="1:17" ht="15.75" customHeight="1" x14ac:dyDescent="0.2"/>
    <row r="48" spans="1: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J11:O11"/>
    <mergeCell ref="J13:O36"/>
    <mergeCell ref="C2:H2"/>
    <mergeCell ref="C3:H3"/>
    <mergeCell ref="C4:H4"/>
    <mergeCell ref="E5:F5"/>
    <mergeCell ref="E7:F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T1000"/>
  <sheetViews>
    <sheetView workbookViewId="0"/>
  </sheetViews>
  <sheetFormatPr defaultColWidth="12.5703125" defaultRowHeight="15" customHeight="1" x14ac:dyDescent="0.2"/>
  <cols>
    <col min="1" max="1" width="4" customWidth="1"/>
    <col min="2" max="2" width="2.85546875" customWidth="1"/>
    <col min="3" max="3" width="27.7109375" customWidth="1"/>
    <col min="4" max="4" width="27.42578125" customWidth="1"/>
    <col min="5" max="5" width="3.42578125" customWidth="1"/>
    <col min="19" max="19" width="3.42578125" customWidth="1"/>
    <col min="20" max="20" width="3.85546875" customWidth="1"/>
  </cols>
  <sheetData>
    <row r="1" spans="1:20" ht="15.75" customHeight="1" x14ac:dyDescent="0.3">
      <c r="A1" s="70"/>
      <c r="B1" s="71"/>
      <c r="C1" s="229" t="s">
        <v>72</v>
      </c>
      <c r="D1" s="220"/>
      <c r="E1" s="220"/>
      <c r="F1" s="220"/>
      <c r="G1" s="220"/>
      <c r="H1" s="220"/>
      <c r="I1" s="220"/>
      <c r="J1" s="220"/>
      <c r="K1" s="220"/>
      <c r="L1" s="220"/>
      <c r="M1" s="220"/>
      <c r="N1" s="220"/>
      <c r="O1" s="220"/>
      <c r="P1" s="220"/>
      <c r="Q1" s="220"/>
      <c r="R1" s="220"/>
      <c r="S1" s="71"/>
      <c r="T1" s="72"/>
    </row>
    <row r="2" spans="1:20" ht="15.75" customHeight="1" x14ac:dyDescent="0.2">
      <c r="A2" s="73"/>
      <c r="B2" s="74"/>
      <c r="C2" s="75"/>
      <c r="D2" s="76"/>
      <c r="E2" s="76"/>
      <c r="F2" s="77"/>
      <c r="G2" s="77"/>
      <c r="H2" s="77"/>
      <c r="I2" s="77"/>
      <c r="J2" s="77"/>
      <c r="K2" s="77"/>
      <c r="L2" s="77"/>
      <c r="M2" s="77"/>
      <c r="N2" s="77"/>
      <c r="O2" s="77"/>
      <c r="P2" s="77"/>
      <c r="Q2" s="77"/>
      <c r="R2" s="77"/>
      <c r="S2" s="77"/>
      <c r="T2" s="78"/>
    </row>
    <row r="3" spans="1:20" ht="15.75" customHeight="1" x14ac:dyDescent="0.25">
      <c r="A3" s="36"/>
      <c r="B3" s="42"/>
      <c r="C3" s="79" t="s">
        <v>47</v>
      </c>
      <c r="D3" s="44" t="s">
        <v>48</v>
      </c>
      <c r="E3" s="44"/>
      <c r="F3" s="44"/>
      <c r="G3" s="43"/>
      <c r="H3" s="37"/>
      <c r="I3" s="37"/>
      <c r="J3" s="37"/>
      <c r="K3" s="37"/>
      <c r="L3" s="37"/>
      <c r="M3" s="37"/>
      <c r="N3" s="37"/>
      <c r="O3" s="37"/>
      <c r="P3" s="37"/>
      <c r="Q3" s="37"/>
      <c r="R3" s="37"/>
      <c r="S3" s="37"/>
      <c r="T3" s="40"/>
    </row>
    <row r="4" spans="1:20" ht="15.75" customHeight="1" x14ac:dyDescent="0.25">
      <c r="A4" s="36"/>
      <c r="B4" s="42"/>
      <c r="C4" s="79" t="s">
        <v>49</v>
      </c>
      <c r="D4" s="44">
        <v>2023</v>
      </c>
      <c r="E4" s="44"/>
      <c r="F4" s="44"/>
      <c r="G4" s="43"/>
      <c r="H4" s="37"/>
      <c r="I4" s="37"/>
      <c r="J4" s="37"/>
      <c r="K4" s="37"/>
      <c r="L4" s="37"/>
      <c r="M4" s="37"/>
      <c r="N4" s="37"/>
      <c r="O4" s="37"/>
      <c r="P4" s="37"/>
      <c r="Q4" s="37"/>
      <c r="R4" s="37"/>
      <c r="S4" s="37"/>
      <c r="T4" s="40"/>
    </row>
    <row r="5" spans="1:20" ht="15.75" customHeight="1" x14ac:dyDescent="0.25">
      <c r="A5" s="36"/>
      <c r="B5" s="42"/>
      <c r="C5" s="43"/>
      <c r="D5" s="37"/>
      <c r="E5" s="37"/>
      <c r="F5" s="37"/>
      <c r="G5" s="37"/>
      <c r="H5" s="37"/>
      <c r="I5" s="37"/>
      <c r="J5" s="37"/>
      <c r="K5" s="37"/>
      <c r="L5" s="3"/>
      <c r="M5" s="3"/>
      <c r="N5" s="3"/>
      <c r="O5" s="3"/>
      <c r="P5" s="37"/>
      <c r="Q5" s="37"/>
      <c r="R5" s="37"/>
      <c r="S5" s="37"/>
      <c r="T5" s="40"/>
    </row>
    <row r="6" spans="1:20" ht="15.75" customHeight="1" x14ac:dyDescent="0.2">
      <c r="A6" s="73"/>
      <c r="B6" s="74"/>
      <c r="C6" s="75"/>
      <c r="D6" s="77"/>
      <c r="E6" s="80"/>
      <c r="F6" s="77"/>
      <c r="G6" s="77"/>
      <c r="H6" s="77"/>
      <c r="I6" s="77"/>
      <c r="J6" s="77"/>
      <c r="K6" s="77"/>
      <c r="L6" s="77"/>
      <c r="M6" s="77"/>
      <c r="N6" s="77"/>
      <c r="O6" s="77"/>
      <c r="P6" s="77"/>
      <c r="Q6" s="77"/>
      <c r="R6" s="77"/>
      <c r="S6" s="77"/>
      <c r="T6" s="78"/>
    </row>
    <row r="7" spans="1:20" ht="15.75" customHeight="1" x14ac:dyDescent="0.2">
      <c r="A7" s="81"/>
      <c r="B7" s="82"/>
      <c r="C7" s="230"/>
      <c r="D7" s="207"/>
      <c r="E7" s="83"/>
      <c r="F7" s="84"/>
      <c r="G7" s="84"/>
      <c r="H7" s="84"/>
      <c r="I7" s="84"/>
      <c r="J7" s="84"/>
      <c r="K7" s="84"/>
      <c r="L7" s="84"/>
      <c r="M7" s="84"/>
      <c r="N7" s="84"/>
      <c r="O7" s="84"/>
      <c r="P7" s="84"/>
      <c r="Q7" s="84"/>
      <c r="R7" s="84"/>
      <c r="S7" s="85"/>
      <c r="T7" s="86"/>
    </row>
    <row r="8" spans="1:20" ht="15.75" customHeight="1" x14ac:dyDescent="0.25">
      <c r="A8" s="81"/>
      <c r="B8" s="87"/>
      <c r="C8" s="231" t="s">
        <v>73</v>
      </c>
      <c r="D8" s="211"/>
      <c r="E8" s="4"/>
      <c r="F8" s="227" t="s">
        <v>74</v>
      </c>
      <c r="G8" s="227" t="s">
        <v>75</v>
      </c>
      <c r="H8" s="227" t="s">
        <v>76</v>
      </c>
      <c r="I8" s="227" t="s">
        <v>77</v>
      </c>
      <c r="J8" s="227" t="s">
        <v>78</v>
      </c>
      <c r="K8" s="227" t="s">
        <v>79</v>
      </c>
      <c r="L8" s="227" t="s">
        <v>80</v>
      </c>
      <c r="M8" s="227" t="s">
        <v>81</v>
      </c>
      <c r="N8" s="227" t="s">
        <v>82</v>
      </c>
      <c r="O8" s="227" t="s">
        <v>83</v>
      </c>
      <c r="P8" s="227" t="s">
        <v>84</v>
      </c>
      <c r="Q8" s="227" t="s">
        <v>85</v>
      </c>
      <c r="R8" s="227" t="s">
        <v>86</v>
      </c>
      <c r="S8" s="86"/>
      <c r="T8" s="86"/>
    </row>
    <row r="9" spans="1:20" ht="15.75" customHeight="1" x14ac:dyDescent="0.25">
      <c r="A9" s="81"/>
      <c r="B9" s="87"/>
      <c r="C9" s="224"/>
      <c r="D9" s="226"/>
      <c r="E9" s="8"/>
      <c r="F9" s="228"/>
      <c r="G9" s="228"/>
      <c r="H9" s="228"/>
      <c r="I9" s="228"/>
      <c r="J9" s="228"/>
      <c r="K9" s="228"/>
      <c r="L9" s="228"/>
      <c r="M9" s="228"/>
      <c r="N9" s="228"/>
      <c r="O9" s="228"/>
      <c r="P9" s="228"/>
      <c r="Q9" s="228"/>
      <c r="R9" s="228"/>
      <c r="S9" s="86"/>
      <c r="T9" s="86"/>
    </row>
    <row r="10" spans="1:20" ht="15.75" customHeight="1" x14ac:dyDescent="0.25">
      <c r="A10" s="81"/>
      <c r="B10" s="88"/>
      <c r="C10" s="232" t="s">
        <v>87</v>
      </c>
      <c r="D10" s="233"/>
      <c r="E10" s="89"/>
      <c r="F10" s="90"/>
      <c r="G10" s="90"/>
      <c r="H10" s="90"/>
      <c r="I10" s="90"/>
      <c r="J10" s="90"/>
      <c r="K10" s="90"/>
      <c r="L10" s="90"/>
      <c r="M10" s="90"/>
      <c r="N10" s="90"/>
      <c r="O10" s="90"/>
      <c r="P10" s="90"/>
      <c r="Q10" s="90"/>
      <c r="R10" s="91"/>
      <c r="S10" s="78"/>
      <c r="T10" s="86"/>
    </row>
    <row r="11" spans="1:20" ht="15.75" customHeight="1" x14ac:dyDescent="0.25">
      <c r="A11" s="73"/>
      <c r="B11" s="88"/>
      <c r="C11" s="234" t="s">
        <v>88</v>
      </c>
      <c r="D11" s="208"/>
      <c r="E11" s="77"/>
      <c r="F11" s="92">
        <f t="shared" ref="F11:Q11" si="0">SUM(F30+F42+F48+F54+F72+F92+F99)</f>
        <v>4620</v>
      </c>
      <c r="G11" s="92">
        <f t="shared" si="0"/>
        <v>2120</v>
      </c>
      <c r="H11" s="92">
        <f t="shared" si="0"/>
        <v>2120</v>
      </c>
      <c r="I11" s="92">
        <f t="shared" si="0"/>
        <v>3120</v>
      </c>
      <c r="J11" s="92">
        <f t="shared" si="0"/>
        <v>2120</v>
      </c>
      <c r="K11" s="92">
        <f t="shared" si="0"/>
        <v>10997.3</v>
      </c>
      <c r="L11" s="92">
        <f t="shared" si="0"/>
        <v>9997.2999999999993</v>
      </c>
      <c r="M11" s="92">
        <f t="shared" si="0"/>
        <v>9997.2999999999993</v>
      </c>
      <c r="N11" s="92">
        <f t="shared" si="0"/>
        <v>16120</v>
      </c>
      <c r="O11" s="92">
        <f t="shared" si="0"/>
        <v>16120</v>
      </c>
      <c r="P11" s="92">
        <f t="shared" si="0"/>
        <v>16120</v>
      </c>
      <c r="Q11" s="92">
        <f t="shared" si="0"/>
        <v>206548.1</v>
      </c>
      <c r="R11" s="93">
        <f t="shared" ref="R11:R12" si="1">SUM(F11:Q11)</f>
        <v>300000</v>
      </c>
      <c r="S11" s="78"/>
      <c r="T11" s="78"/>
    </row>
    <row r="12" spans="1:20" ht="15.75" customHeight="1" x14ac:dyDescent="0.25">
      <c r="A12" s="73"/>
      <c r="B12" s="88"/>
      <c r="C12" s="234" t="s">
        <v>89</v>
      </c>
      <c r="D12" s="208"/>
      <c r="E12" s="36"/>
      <c r="F12" s="92">
        <v>0</v>
      </c>
      <c r="G12" s="94">
        <v>0</v>
      </c>
      <c r="H12" s="94">
        <v>0</v>
      </c>
      <c r="I12" s="94">
        <v>0</v>
      </c>
      <c r="J12" s="94">
        <v>0</v>
      </c>
      <c r="K12" s="95">
        <v>0</v>
      </c>
      <c r="L12" s="92">
        <v>0</v>
      </c>
      <c r="M12" s="94">
        <v>0</v>
      </c>
      <c r="N12" s="94">
        <v>0</v>
      </c>
      <c r="O12" s="94">
        <v>0</v>
      </c>
      <c r="P12" s="94">
        <v>0</v>
      </c>
      <c r="Q12" s="94">
        <v>0</v>
      </c>
      <c r="R12" s="93">
        <f t="shared" si="1"/>
        <v>0</v>
      </c>
      <c r="S12" s="78"/>
      <c r="T12" s="78"/>
    </row>
    <row r="13" spans="1:20" ht="15.75" customHeight="1" x14ac:dyDescent="0.25">
      <c r="A13" s="73"/>
      <c r="B13" s="88"/>
      <c r="C13" s="235"/>
      <c r="D13" s="226"/>
      <c r="E13" s="37"/>
      <c r="F13" s="91"/>
      <c r="G13" s="91"/>
      <c r="H13" s="91"/>
      <c r="I13" s="91"/>
      <c r="J13" s="91"/>
      <c r="K13" s="91"/>
      <c r="L13" s="91"/>
      <c r="M13" s="91"/>
      <c r="N13" s="91"/>
      <c r="O13" s="91"/>
      <c r="P13" s="91"/>
      <c r="Q13" s="91"/>
      <c r="R13" s="96"/>
      <c r="S13" s="86"/>
      <c r="T13" s="78"/>
    </row>
    <row r="14" spans="1:20" ht="15.75" customHeight="1" x14ac:dyDescent="0.25">
      <c r="A14" s="73"/>
      <c r="B14" s="88"/>
      <c r="C14" s="236" t="s">
        <v>90</v>
      </c>
      <c r="D14" s="208"/>
      <c r="E14" s="37"/>
      <c r="F14" s="97">
        <f t="shared" ref="F14:Q14" si="2">SUM(F11:F12)</f>
        <v>4620</v>
      </c>
      <c r="G14" s="97">
        <f t="shared" si="2"/>
        <v>2120</v>
      </c>
      <c r="H14" s="97">
        <f t="shared" si="2"/>
        <v>2120</v>
      </c>
      <c r="I14" s="97">
        <f t="shared" si="2"/>
        <v>3120</v>
      </c>
      <c r="J14" s="97">
        <f t="shared" si="2"/>
        <v>2120</v>
      </c>
      <c r="K14" s="97">
        <f t="shared" si="2"/>
        <v>10997.3</v>
      </c>
      <c r="L14" s="97">
        <f t="shared" si="2"/>
        <v>9997.2999999999993</v>
      </c>
      <c r="M14" s="97">
        <f t="shared" si="2"/>
        <v>9997.2999999999993</v>
      </c>
      <c r="N14" s="97">
        <f t="shared" si="2"/>
        <v>16120</v>
      </c>
      <c r="O14" s="97">
        <f t="shared" si="2"/>
        <v>16120</v>
      </c>
      <c r="P14" s="97">
        <f t="shared" si="2"/>
        <v>16120</v>
      </c>
      <c r="Q14" s="97">
        <f t="shared" si="2"/>
        <v>206548.1</v>
      </c>
      <c r="R14" s="93">
        <f>SUM(F14:Q14)</f>
        <v>300000</v>
      </c>
      <c r="S14" s="78"/>
      <c r="T14" s="78"/>
    </row>
    <row r="15" spans="1:20" ht="15.75" customHeight="1" x14ac:dyDescent="0.25">
      <c r="A15" s="73"/>
      <c r="B15" s="88"/>
      <c r="C15" s="235"/>
      <c r="D15" s="226"/>
      <c r="E15" s="37"/>
      <c r="F15" s="98"/>
      <c r="G15" s="98"/>
      <c r="H15" s="98"/>
      <c r="I15" s="98"/>
      <c r="J15" s="98"/>
      <c r="K15" s="98"/>
      <c r="L15" s="98"/>
      <c r="M15" s="98"/>
      <c r="N15" s="98"/>
      <c r="O15" s="98"/>
      <c r="P15" s="98"/>
      <c r="Q15" s="98"/>
      <c r="R15" s="77"/>
      <c r="S15" s="78"/>
      <c r="T15" s="78"/>
    </row>
    <row r="16" spans="1:20" ht="15.75" customHeight="1" x14ac:dyDescent="0.25">
      <c r="A16" s="73"/>
      <c r="B16" s="88"/>
      <c r="C16" s="237" t="s">
        <v>91</v>
      </c>
      <c r="D16" s="208"/>
      <c r="E16" s="36"/>
      <c r="F16" s="90"/>
      <c r="G16" s="90"/>
      <c r="H16" s="90"/>
      <c r="I16" s="90"/>
      <c r="J16" s="90"/>
      <c r="K16" s="90"/>
      <c r="L16" s="90"/>
      <c r="M16" s="90"/>
      <c r="N16" s="90"/>
      <c r="O16" s="90"/>
      <c r="P16" s="90"/>
      <c r="Q16" s="90"/>
      <c r="R16" s="91"/>
      <c r="S16" s="78"/>
      <c r="T16" s="78"/>
    </row>
    <row r="17" spans="1:20" ht="15.75" customHeight="1" x14ac:dyDescent="0.25">
      <c r="A17" s="73"/>
      <c r="B17" s="88"/>
      <c r="C17" s="234" t="s">
        <v>92</v>
      </c>
      <c r="D17" s="208"/>
      <c r="E17" s="36"/>
      <c r="F17" s="92">
        <v>34000</v>
      </c>
      <c r="G17" s="94">
        <v>10000</v>
      </c>
      <c r="H17" s="94">
        <v>10000</v>
      </c>
      <c r="I17" s="94">
        <v>10000</v>
      </c>
      <c r="J17" s="94">
        <v>10000</v>
      </c>
      <c r="K17" s="94">
        <v>10000</v>
      </c>
      <c r="L17" s="94">
        <v>10000</v>
      </c>
      <c r="M17" s="94">
        <v>10000</v>
      </c>
      <c r="N17" s="94">
        <v>10000</v>
      </c>
      <c r="O17" s="94">
        <v>50000</v>
      </c>
      <c r="P17" s="94">
        <v>20000</v>
      </c>
      <c r="Q17" s="94">
        <v>20000</v>
      </c>
      <c r="R17" s="93">
        <f t="shared" ref="R17:R19" si="3">SUM(F17:Q17)</f>
        <v>204000</v>
      </c>
      <c r="S17" s="78"/>
      <c r="T17" s="78"/>
    </row>
    <row r="18" spans="1:20" ht="15.75" customHeight="1" x14ac:dyDescent="0.25">
      <c r="A18" s="73"/>
      <c r="B18" s="88"/>
      <c r="C18" s="234" t="s">
        <v>93</v>
      </c>
      <c r="D18" s="208"/>
      <c r="E18" s="36"/>
      <c r="F18" s="92" t="s">
        <v>94</v>
      </c>
      <c r="G18" s="94" t="s">
        <v>94</v>
      </c>
      <c r="H18" s="94" t="s">
        <v>94</v>
      </c>
      <c r="I18" s="94" t="s">
        <v>94</v>
      </c>
      <c r="J18" s="94" t="s">
        <v>94</v>
      </c>
      <c r="K18" s="95" t="s">
        <v>94</v>
      </c>
      <c r="L18" s="92" t="s">
        <v>94</v>
      </c>
      <c r="M18" s="94" t="s">
        <v>94</v>
      </c>
      <c r="N18" s="94" t="s">
        <v>94</v>
      </c>
      <c r="O18" s="94" t="s">
        <v>94</v>
      </c>
      <c r="P18" s="94" t="s">
        <v>94</v>
      </c>
      <c r="Q18" s="94" t="s">
        <v>94</v>
      </c>
      <c r="R18" s="93">
        <f t="shared" si="3"/>
        <v>0</v>
      </c>
      <c r="S18" s="78"/>
      <c r="T18" s="78"/>
    </row>
    <row r="19" spans="1:20" ht="15.75" customHeight="1" x14ac:dyDescent="0.25">
      <c r="A19" s="73"/>
      <c r="B19" s="88"/>
      <c r="C19" s="234" t="s">
        <v>95</v>
      </c>
      <c r="D19" s="208"/>
      <c r="E19" s="36"/>
      <c r="F19" s="92" t="s">
        <v>94</v>
      </c>
      <c r="G19" s="94" t="s">
        <v>94</v>
      </c>
      <c r="H19" s="94" t="s">
        <v>94</v>
      </c>
      <c r="I19" s="94" t="s">
        <v>94</v>
      </c>
      <c r="J19" s="94" t="s">
        <v>94</v>
      </c>
      <c r="K19" s="95" t="s">
        <v>94</v>
      </c>
      <c r="L19" s="92" t="s">
        <v>94</v>
      </c>
      <c r="M19" s="94" t="s">
        <v>94</v>
      </c>
      <c r="N19" s="94" t="s">
        <v>94</v>
      </c>
      <c r="O19" s="94" t="s">
        <v>94</v>
      </c>
      <c r="P19" s="94" t="s">
        <v>94</v>
      </c>
      <c r="Q19" s="94" t="s">
        <v>94</v>
      </c>
      <c r="R19" s="93">
        <f t="shared" si="3"/>
        <v>0</v>
      </c>
      <c r="S19" s="78"/>
      <c r="T19" s="78"/>
    </row>
    <row r="20" spans="1:20" ht="15.75" customHeight="1" x14ac:dyDescent="0.25">
      <c r="A20" s="73"/>
      <c r="B20" s="88"/>
      <c r="C20" s="235"/>
      <c r="D20" s="226"/>
      <c r="E20" s="37"/>
      <c r="F20" s="91"/>
      <c r="G20" s="91"/>
      <c r="H20" s="91"/>
      <c r="I20" s="91"/>
      <c r="J20" s="91"/>
      <c r="K20" s="91"/>
      <c r="L20" s="91"/>
      <c r="M20" s="91"/>
      <c r="N20" s="91"/>
      <c r="O20" s="91"/>
      <c r="P20" s="91"/>
      <c r="Q20" s="91"/>
      <c r="R20" s="91"/>
      <c r="S20" s="78"/>
      <c r="T20" s="78"/>
    </row>
    <row r="21" spans="1:20" ht="15.75" customHeight="1" x14ac:dyDescent="0.25">
      <c r="A21" s="73"/>
      <c r="B21" s="88"/>
      <c r="C21" s="236" t="s">
        <v>96</v>
      </c>
      <c r="D21" s="208"/>
      <c r="E21" s="36"/>
      <c r="F21" s="99">
        <f t="shared" ref="F21:Q21" si="4">SUM(F17:F19)</f>
        <v>34000</v>
      </c>
      <c r="G21" s="99">
        <f t="shared" si="4"/>
        <v>10000</v>
      </c>
      <c r="H21" s="99">
        <f t="shared" si="4"/>
        <v>10000</v>
      </c>
      <c r="I21" s="99">
        <f t="shared" si="4"/>
        <v>10000</v>
      </c>
      <c r="J21" s="99">
        <f t="shared" si="4"/>
        <v>10000</v>
      </c>
      <c r="K21" s="99">
        <f t="shared" si="4"/>
        <v>10000</v>
      </c>
      <c r="L21" s="99">
        <f t="shared" si="4"/>
        <v>10000</v>
      </c>
      <c r="M21" s="99">
        <f t="shared" si="4"/>
        <v>10000</v>
      </c>
      <c r="N21" s="99">
        <f t="shared" si="4"/>
        <v>10000</v>
      </c>
      <c r="O21" s="99">
        <f t="shared" si="4"/>
        <v>50000</v>
      </c>
      <c r="P21" s="99">
        <f t="shared" si="4"/>
        <v>20000</v>
      </c>
      <c r="Q21" s="99">
        <f t="shared" si="4"/>
        <v>20000</v>
      </c>
      <c r="R21" s="93">
        <f>SUM(F21:Q21)</f>
        <v>204000</v>
      </c>
      <c r="S21" s="78"/>
      <c r="T21" s="78"/>
    </row>
    <row r="22" spans="1:20" ht="15.75" customHeight="1" x14ac:dyDescent="0.25">
      <c r="A22" s="73"/>
      <c r="B22" s="88"/>
      <c r="C22" s="235"/>
      <c r="D22" s="226"/>
      <c r="E22" s="37"/>
      <c r="F22" s="91"/>
      <c r="G22" s="91"/>
      <c r="H22" s="91"/>
      <c r="I22" s="91"/>
      <c r="J22" s="91"/>
      <c r="K22" s="91"/>
      <c r="L22" s="91"/>
      <c r="M22" s="91"/>
      <c r="N22" s="91"/>
      <c r="O22" s="91"/>
      <c r="P22" s="91"/>
      <c r="Q22" s="91"/>
      <c r="R22" s="96"/>
      <c r="S22" s="86"/>
      <c r="T22" s="78"/>
    </row>
    <row r="23" spans="1:20" ht="15.75" customHeight="1" x14ac:dyDescent="0.25">
      <c r="A23" s="73"/>
      <c r="B23" s="88"/>
      <c r="C23" s="236" t="s">
        <v>97</v>
      </c>
      <c r="D23" s="208"/>
      <c r="E23" s="36"/>
      <c r="F23" s="97">
        <f t="shared" ref="F23:Q23" si="5">SUM(F21,F14)</f>
        <v>38620</v>
      </c>
      <c r="G23" s="97">
        <f t="shared" si="5"/>
        <v>12120</v>
      </c>
      <c r="H23" s="97">
        <f t="shared" si="5"/>
        <v>12120</v>
      </c>
      <c r="I23" s="97">
        <f t="shared" si="5"/>
        <v>13120</v>
      </c>
      <c r="J23" s="97">
        <f t="shared" si="5"/>
        <v>12120</v>
      </c>
      <c r="K23" s="97">
        <f t="shared" si="5"/>
        <v>20997.3</v>
      </c>
      <c r="L23" s="97">
        <f t="shared" si="5"/>
        <v>19997.3</v>
      </c>
      <c r="M23" s="97">
        <f t="shared" si="5"/>
        <v>19997.3</v>
      </c>
      <c r="N23" s="97">
        <f t="shared" si="5"/>
        <v>26120</v>
      </c>
      <c r="O23" s="97">
        <f t="shared" si="5"/>
        <v>66120</v>
      </c>
      <c r="P23" s="97">
        <f t="shared" si="5"/>
        <v>36120</v>
      </c>
      <c r="Q23" s="97">
        <f t="shared" si="5"/>
        <v>226548.1</v>
      </c>
      <c r="R23" s="93">
        <f>SUM(F23:Q23)</f>
        <v>504000</v>
      </c>
      <c r="S23" s="78"/>
      <c r="T23" s="78"/>
    </row>
    <row r="24" spans="1:20" ht="15.75" customHeight="1" x14ac:dyDescent="0.25">
      <c r="A24" s="73"/>
      <c r="B24" s="88"/>
      <c r="C24" s="36"/>
      <c r="D24" s="40"/>
      <c r="E24" s="37"/>
      <c r="F24" s="98"/>
      <c r="G24" s="98"/>
      <c r="H24" s="98"/>
      <c r="I24" s="98"/>
      <c r="J24" s="98"/>
      <c r="K24" s="98"/>
      <c r="L24" s="98"/>
      <c r="M24" s="98"/>
      <c r="N24" s="98"/>
      <c r="O24" s="98"/>
      <c r="P24" s="98"/>
      <c r="Q24" s="98"/>
      <c r="R24" s="77"/>
      <c r="S24" s="78"/>
      <c r="T24" s="78"/>
    </row>
    <row r="25" spans="1:20" ht="15.75" customHeight="1" x14ac:dyDescent="0.25">
      <c r="A25" s="73"/>
      <c r="B25" s="87"/>
      <c r="C25" s="231" t="s">
        <v>98</v>
      </c>
      <c r="D25" s="211"/>
      <c r="E25" s="37"/>
      <c r="F25" s="98"/>
      <c r="G25" s="98"/>
      <c r="H25" s="98"/>
      <c r="I25" s="98"/>
      <c r="J25" s="98"/>
      <c r="K25" s="98"/>
      <c r="L25" s="98"/>
      <c r="M25" s="98"/>
      <c r="N25" s="98"/>
      <c r="O25" s="98"/>
      <c r="P25" s="98"/>
      <c r="Q25" s="98"/>
      <c r="R25" s="77"/>
      <c r="S25" s="78"/>
      <c r="T25" s="78"/>
    </row>
    <row r="26" spans="1:20" ht="15.75" customHeight="1" x14ac:dyDescent="0.25">
      <c r="A26" s="73"/>
      <c r="B26" s="87"/>
      <c r="C26" s="224"/>
      <c r="D26" s="226"/>
      <c r="E26" s="100"/>
      <c r="F26" s="98"/>
      <c r="G26" s="98"/>
      <c r="H26" s="98"/>
      <c r="I26" s="98"/>
      <c r="J26" s="98"/>
      <c r="K26" s="98"/>
      <c r="L26" s="98"/>
      <c r="M26" s="98"/>
      <c r="N26" s="98"/>
      <c r="O26" s="98"/>
      <c r="P26" s="98"/>
      <c r="Q26" s="98"/>
      <c r="R26" s="77"/>
      <c r="S26" s="78"/>
      <c r="T26" s="78"/>
    </row>
    <row r="27" spans="1:20" ht="15.75" customHeight="1" x14ac:dyDescent="0.25">
      <c r="A27" s="73"/>
      <c r="B27" s="88"/>
      <c r="C27" s="232" t="s">
        <v>99</v>
      </c>
      <c r="D27" s="233"/>
      <c r="E27" s="37"/>
      <c r="F27" s="90"/>
      <c r="G27" s="90"/>
      <c r="H27" s="90"/>
      <c r="I27" s="90"/>
      <c r="J27" s="90"/>
      <c r="K27" s="90"/>
      <c r="L27" s="90"/>
      <c r="M27" s="90"/>
      <c r="N27" s="90"/>
      <c r="O27" s="90"/>
      <c r="P27" s="90"/>
      <c r="Q27" s="90"/>
      <c r="R27" s="91"/>
      <c r="S27" s="78"/>
      <c r="T27" s="78"/>
    </row>
    <row r="28" spans="1:20" ht="15.75" customHeight="1" x14ac:dyDescent="0.25">
      <c r="A28" s="73"/>
      <c r="B28" s="88"/>
      <c r="C28" s="234" t="s">
        <v>100</v>
      </c>
      <c r="D28" s="208"/>
      <c r="E28" s="43"/>
      <c r="F28" s="101">
        <v>0</v>
      </c>
      <c r="G28" s="102">
        <v>0</v>
      </c>
      <c r="H28" s="102">
        <v>0</v>
      </c>
      <c r="I28" s="94">
        <v>0</v>
      </c>
      <c r="J28" s="94">
        <v>0</v>
      </c>
      <c r="K28" s="94">
        <v>8877.2999999999993</v>
      </c>
      <c r="L28" s="94">
        <v>8877.2999999999993</v>
      </c>
      <c r="M28" s="94">
        <v>8877.2999999999993</v>
      </c>
      <c r="N28" s="102">
        <v>15000</v>
      </c>
      <c r="O28" s="102">
        <v>15000</v>
      </c>
      <c r="P28" s="102">
        <v>15000</v>
      </c>
      <c r="Q28" s="102">
        <v>15000</v>
      </c>
      <c r="R28" s="93">
        <f>SUM(F28:Q28)</f>
        <v>86631.9</v>
      </c>
      <c r="S28" s="78"/>
      <c r="T28" s="78"/>
    </row>
    <row r="29" spans="1:20" ht="15.75" customHeight="1" x14ac:dyDescent="0.25">
      <c r="A29" s="73"/>
      <c r="B29" s="88"/>
      <c r="C29" s="36"/>
      <c r="D29" s="40"/>
      <c r="E29" s="37"/>
      <c r="F29" s="91"/>
      <c r="G29" s="91"/>
      <c r="H29" s="91"/>
      <c r="I29" s="91"/>
      <c r="J29" s="91"/>
      <c r="K29" s="91"/>
      <c r="L29" s="103"/>
      <c r="M29" s="103"/>
      <c r="N29" s="103"/>
      <c r="O29" s="103"/>
      <c r="P29" s="103"/>
      <c r="Q29" s="103"/>
      <c r="R29" s="103"/>
      <c r="S29" s="104"/>
      <c r="T29" s="78"/>
    </row>
    <row r="30" spans="1:20" ht="15.75" customHeight="1" x14ac:dyDescent="0.25">
      <c r="A30" s="73"/>
      <c r="B30" s="88"/>
      <c r="C30" s="236" t="s">
        <v>101</v>
      </c>
      <c r="D30" s="208"/>
      <c r="E30" s="37"/>
      <c r="F30" s="105">
        <v>0</v>
      </c>
      <c r="G30" s="105">
        <v>0</v>
      </c>
      <c r="H30" s="105">
        <v>0</v>
      </c>
      <c r="I30" s="105">
        <v>0</v>
      </c>
      <c r="J30" s="105">
        <v>0</v>
      </c>
      <c r="K30" s="99">
        <f t="shared" ref="K30:Q30" si="6">K28</f>
        <v>8877.2999999999993</v>
      </c>
      <c r="L30" s="99">
        <f t="shared" si="6"/>
        <v>8877.2999999999993</v>
      </c>
      <c r="M30" s="99">
        <f t="shared" si="6"/>
        <v>8877.2999999999993</v>
      </c>
      <c r="N30" s="99">
        <f t="shared" si="6"/>
        <v>15000</v>
      </c>
      <c r="O30" s="99">
        <f t="shared" si="6"/>
        <v>15000</v>
      </c>
      <c r="P30" s="99">
        <f t="shared" si="6"/>
        <v>15000</v>
      </c>
      <c r="Q30" s="99">
        <f t="shared" si="6"/>
        <v>15000</v>
      </c>
      <c r="R30" s="93">
        <f>SUM(F30:Q30)</f>
        <v>86631.9</v>
      </c>
      <c r="S30" s="78"/>
      <c r="T30" s="78"/>
    </row>
    <row r="31" spans="1:20" ht="15.75" customHeight="1" x14ac:dyDescent="0.25">
      <c r="A31" s="73"/>
      <c r="B31" s="88"/>
      <c r="C31" s="89"/>
      <c r="D31" s="106"/>
      <c r="E31" s="37"/>
      <c r="F31" s="77"/>
      <c r="G31" s="77"/>
      <c r="H31" s="77"/>
      <c r="I31" s="77"/>
      <c r="J31" s="77"/>
      <c r="K31" s="77"/>
      <c r="L31" s="77"/>
      <c r="M31" s="77"/>
      <c r="N31" s="77"/>
      <c r="O31" s="77"/>
      <c r="P31" s="77"/>
      <c r="Q31" s="77"/>
      <c r="R31" s="107"/>
      <c r="S31" s="86"/>
      <c r="T31" s="78"/>
    </row>
    <row r="32" spans="1:20" ht="15.75" customHeight="1" x14ac:dyDescent="0.25">
      <c r="A32" s="73"/>
      <c r="B32" s="88"/>
      <c r="C32" s="237" t="s">
        <v>102</v>
      </c>
      <c r="D32" s="208"/>
      <c r="E32" s="37"/>
      <c r="F32" s="90"/>
      <c r="G32" s="90"/>
      <c r="H32" s="90"/>
      <c r="I32" s="90"/>
      <c r="J32" s="90"/>
      <c r="K32" s="90"/>
      <c r="L32" s="90"/>
      <c r="M32" s="90"/>
      <c r="N32" s="90"/>
      <c r="O32" s="90"/>
      <c r="P32" s="90"/>
      <c r="Q32" s="90"/>
      <c r="R32" s="91"/>
      <c r="S32" s="78"/>
      <c r="T32" s="78"/>
    </row>
    <row r="33" spans="1:20" ht="15.75" customHeight="1" x14ac:dyDescent="0.25">
      <c r="A33" s="73"/>
      <c r="B33" s="88"/>
      <c r="C33" s="234" t="s">
        <v>103</v>
      </c>
      <c r="D33" s="208"/>
      <c r="E33" s="37"/>
      <c r="F33" s="101">
        <v>0</v>
      </c>
      <c r="G33" s="102">
        <v>0</v>
      </c>
      <c r="H33" s="102">
        <v>0</v>
      </c>
      <c r="I33" s="102">
        <v>0</v>
      </c>
      <c r="J33" s="102">
        <v>0</v>
      </c>
      <c r="K33" s="108">
        <v>0</v>
      </c>
      <c r="L33" s="101">
        <v>0</v>
      </c>
      <c r="M33" s="102">
        <v>0</v>
      </c>
      <c r="N33" s="102">
        <v>0</v>
      </c>
      <c r="O33" s="102">
        <v>0</v>
      </c>
      <c r="P33" s="102">
        <v>0</v>
      </c>
      <c r="Q33" s="102">
        <v>0</v>
      </c>
      <c r="R33" s="93">
        <f t="shared" ref="R33:R40" si="7">SUM(F33:Q33)</f>
        <v>0</v>
      </c>
      <c r="S33" s="78"/>
      <c r="T33" s="78"/>
    </row>
    <row r="34" spans="1:20" ht="15.75" customHeight="1" x14ac:dyDescent="0.25">
      <c r="A34" s="73"/>
      <c r="B34" s="88"/>
      <c r="C34" s="234" t="s">
        <v>104</v>
      </c>
      <c r="D34" s="208"/>
      <c r="E34" s="37"/>
      <c r="F34" s="101">
        <v>0</v>
      </c>
      <c r="G34" s="102">
        <v>0</v>
      </c>
      <c r="H34" s="102">
        <v>0</v>
      </c>
      <c r="I34" s="102">
        <v>0</v>
      </c>
      <c r="J34" s="102">
        <v>0</v>
      </c>
      <c r="K34" s="108">
        <v>0</v>
      </c>
      <c r="L34" s="101">
        <v>0</v>
      </c>
      <c r="M34" s="102">
        <v>0</v>
      </c>
      <c r="N34" s="102">
        <v>0</v>
      </c>
      <c r="O34" s="102">
        <v>0</v>
      </c>
      <c r="P34" s="102">
        <v>0</v>
      </c>
      <c r="Q34" s="102">
        <v>0</v>
      </c>
      <c r="R34" s="93">
        <f t="shared" si="7"/>
        <v>0</v>
      </c>
      <c r="S34" s="78"/>
      <c r="T34" s="78"/>
    </row>
    <row r="35" spans="1:20" ht="15.75" customHeight="1" x14ac:dyDescent="0.25">
      <c r="A35" s="73"/>
      <c r="B35" s="88"/>
      <c r="C35" s="234" t="s">
        <v>105</v>
      </c>
      <c r="D35" s="208"/>
      <c r="E35" s="37"/>
      <c r="F35" s="101">
        <v>0</v>
      </c>
      <c r="G35" s="102">
        <v>0</v>
      </c>
      <c r="H35" s="102">
        <v>0</v>
      </c>
      <c r="I35" s="102">
        <v>0</v>
      </c>
      <c r="J35" s="102">
        <v>0</v>
      </c>
      <c r="K35" s="108">
        <v>0</v>
      </c>
      <c r="L35" s="101">
        <v>0</v>
      </c>
      <c r="M35" s="102">
        <v>0</v>
      </c>
      <c r="N35" s="102">
        <v>0</v>
      </c>
      <c r="O35" s="102">
        <v>0</v>
      </c>
      <c r="P35" s="102">
        <v>0</v>
      </c>
      <c r="Q35" s="102">
        <v>25428.1</v>
      </c>
      <c r="R35" s="93">
        <f t="shared" si="7"/>
        <v>25428.1</v>
      </c>
      <c r="S35" s="78"/>
      <c r="T35" s="78"/>
    </row>
    <row r="36" spans="1:20" ht="15.75" customHeight="1" x14ac:dyDescent="0.25">
      <c r="A36" s="73"/>
      <c r="B36" s="88"/>
      <c r="C36" s="234" t="s">
        <v>106</v>
      </c>
      <c r="D36" s="208"/>
      <c r="E36" s="37"/>
      <c r="F36" s="101">
        <v>0</v>
      </c>
      <c r="G36" s="102">
        <v>0</v>
      </c>
      <c r="H36" s="102">
        <v>0</v>
      </c>
      <c r="I36" s="102">
        <v>0</v>
      </c>
      <c r="J36" s="102">
        <v>0</v>
      </c>
      <c r="K36" s="108">
        <v>0</v>
      </c>
      <c r="L36" s="101">
        <v>0</v>
      </c>
      <c r="M36" s="102">
        <v>0</v>
      </c>
      <c r="N36" s="102">
        <v>0</v>
      </c>
      <c r="O36" s="102">
        <v>0</v>
      </c>
      <c r="P36" s="102">
        <v>0</v>
      </c>
      <c r="Q36" s="102">
        <v>0</v>
      </c>
      <c r="R36" s="93">
        <f t="shared" si="7"/>
        <v>0</v>
      </c>
      <c r="S36" s="78"/>
      <c r="T36" s="78"/>
    </row>
    <row r="37" spans="1:20" ht="15.75" customHeight="1" x14ac:dyDescent="0.25">
      <c r="A37" s="73"/>
      <c r="B37" s="88"/>
      <c r="C37" s="234" t="s">
        <v>107</v>
      </c>
      <c r="D37" s="208"/>
      <c r="E37" s="37"/>
      <c r="F37" s="101">
        <v>0</v>
      </c>
      <c r="G37" s="102">
        <v>0</v>
      </c>
      <c r="H37" s="102">
        <v>0</v>
      </c>
      <c r="I37" s="102">
        <v>0</v>
      </c>
      <c r="J37" s="102">
        <v>0</v>
      </c>
      <c r="K37" s="108">
        <v>0</v>
      </c>
      <c r="L37" s="101">
        <v>0</v>
      </c>
      <c r="M37" s="102">
        <v>0</v>
      </c>
      <c r="N37" s="102">
        <v>0</v>
      </c>
      <c r="O37" s="102">
        <v>0</v>
      </c>
      <c r="P37" s="102">
        <v>0</v>
      </c>
      <c r="Q37" s="102">
        <v>0</v>
      </c>
      <c r="R37" s="93">
        <f t="shared" si="7"/>
        <v>0</v>
      </c>
      <c r="S37" s="78"/>
      <c r="T37" s="78"/>
    </row>
    <row r="38" spans="1:20" ht="15.75" customHeight="1" x14ac:dyDescent="0.25">
      <c r="A38" s="73"/>
      <c r="B38" s="109"/>
      <c r="C38" s="234" t="s">
        <v>108</v>
      </c>
      <c r="D38" s="208"/>
      <c r="E38" s="100"/>
      <c r="F38" s="101">
        <v>0</v>
      </c>
      <c r="G38" s="102">
        <v>0</v>
      </c>
      <c r="H38" s="102">
        <v>0</v>
      </c>
      <c r="I38" s="102">
        <v>0</v>
      </c>
      <c r="J38" s="102">
        <v>0</v>
      </c>
      <c r="K38" s="108">
        <v>0</v>
      </c>
      <c r="L38" s="101">
        <v>0</v>
      </c>
      <c r="M38" s="102">
        <v>0</v>
      </c>
      <c r="N38" s="102">
        <v>0</v>
      </c>
      <c r="O38" s="102">
        <v>0</v>
      </c>
      <c r="P38" s="102">
        <v>0</v>
      </c>
      <c r="Q38" s="102">
        <v>0</v>
      </c>
      <c r="R38" s="93">
        <f t="shared" si="7"/>
        <v>0</v>
      </c>
      <c r="S38" s="78"/>
      <c r="T38" s="78"/>
    </row>
    <row r="39" spans="1:20" ht="15.75" customHeight="1" x14ac:dyDescent="0.25">
      <c r="A39" s="73"/>
      <c r="B39" s="88"/>
      <c r="C39" s="234" t="s">
        <v>109</v>
      </c>
      <c r="D39" s="208"/>
      <c r="E39" s="37"/>
      <c r="F39" s="101">
        <v>0</v>
      </c>
      <c r="G39" s="102">
        <v>0</v>
      </c>
      <c r="H39" s="102">
        <v>0</v>
      </c>
      <c r="I39" s="102">
        <v>0</v>
      </c>
      <c r="J39" s="102">
        <v>0</v>
      </c>
      <c r="K39" s="108">
        <v>0</v>
      </c>
      <c r="L39" s="101">
        <v>0</v>
      </c>
      <c r="M39" s="102">
        <v>0</v>
      </c>
      <c r="N39" s="102">
        <v>0</v>
      </c>
      <c r="O39" s="102">
        <v>0</v>
      </c>
      <c r="P39" s="102">
        <v>0</v>
      </c>
      <c r="Q39" s="102">
        <v>0</v>
      </c>
      <c r="R39" s="93">
        <f t="shared" si="7"/>
        <v>0</v>
      </c>
      <c r="S39" s="78"/>
      <c r="T39" s="78"/>
    </row>
    <row r="40" spans="1:20" ht="15.75" customHeight="1" x14ac:dyDescent="0.25">
      <c r="A40" s="73"/>
      <c r="B40" s="88"/>
      <c r="C40" s="234" t="s">
        <v>110</v>
      </c>
      <c r="D40" s="208"/>
      <c r="E40" s="43"/>
      <c r="F40" s="101">
        <v>0</v>
      </c>
      <c r="G40" s="102">
        <v>0</v>
      </c>
      <c r="H40" s="102">
        <v>0</v>
      </c>
      <c r="I40" s="102">
        <v>0</v>
      </c>
      <c r="J40" s="102">
        <v>0</v>
      </c>
      <c r="K40" s="108">
        <v>0</v>
      </c>
      <c r="L40" s="101">
        <v>0</v>
      </c>
      <c r="M40" s="102">
        <v>0</v>
      </c>
      <c r="N40" s="102">
        <v>0</v>
      </c>
      <c r="O40" s="102">
        <v>0</v>
      </c>
      <c r="P40" s="102">
        <v>0</v>
      </c>
      <c r="Q40" s="102">
        <v>0</v>
      </c>
      <c r="R40" s="93">
        <f t="shared" si="7"/>
        <v>0</v>
      </c>
      <c r="S40" s="78"/>
      <c r="T40" s="78"/>
    </row>
    <row r="41" spans="1:20" ht="15.75" customHeight="1" x14ac:dyDescent="0.25">
      <c r="A41" s="73"/>
      <c r="B41" s="88"/>
      <c r="C41" s="36"/>
      <c r="D41" s="40"/>
      <c r="E41" s="37"/>
      <c r="F41" s="90"/>
      <c r="G41" s="90"/>
      <c r="H41" s="90"/>
      <c r="I41" s="90"/>
      <c r="J41" s="90"/>
      <c r="K41" s="90"/>
      <c r="L41" s="90"/>
      <c r="M41" s="90"/>
      <c r="N41" s="90"/>
      <c r="O41" s="90"/>
      <c r="P41" s="90"/>
      <c r="Q41" s="90"/>
      <c r="R41" s="91"/>
      <c r="S41" s="78"/>
      <c r="T41" s="78"/>
    </row>
    <row r="42" spans="1:20" ht="15.75" customHeight="1" x14ac:dyDescent="0.25">
      <c r="A42" s="73"/>
      <c r="B42" s="88"/>
      <c r="C42" s="236" t="s">
        <v>111</v>
      </c>
      <c r="D42" s="208"/>
      <c r="E42" s="37"/>
      <c r="F42" s="97">
        <f t="shared" ref="F42:Q42" si="8">SUM(F33:F40)</f>
        <v>0</v>
      </c>
      <c r="G42" s="97">
        <f t="shared" si="8"/>
        <v>0</v>
      </c>
      <c r="H42" s="97">
        <f t="shared" si="8"/>
        <v>0</v>
      </c>
      <c r="I42" s="97">
        <f t="shared" si="8"/>
        <v>0</v>
      </c>
      <c r="J42" s="97">
        <f t="shared" si="8"/>
        <v>0</v>
      </c>
      <c r="K42" s="97">
        <f t="shared" si="8"/>
        <v>0</v>
      </c>
      <c r="L42" s="97">
        <f t="shared" si="8"/>
        <v>0</v>
      </c>
      <c r="M42" s="97">
        <f t="shared" si="8"/>
        <v>0</v>
      </c>
      <c r="N42" s="97">
        <f t="shared" si="8"/>
        <v>0</v>
      </c>
      <c r="O42" s="97">
        <f t="shared" si="8"/>
        <v>0</v>
      </c>
      <c r="P42" s="97">
        <f t="shared" si="8"/>
        <v>0</v>
      </c>
      <c r="Q42" s="97">
        <f t="shared" si="8"/>
        <v>25428.1</v>
      </c>
      <c r="R42" s="93">
        <f>SUM(F42:Q42)</f>
        <v>25428.1</v>
      </c>
      <c r="S42" s="78"/>
      <c r="T42" s="78"/>
    </row>
    <row r="43" spans="1:20" ht="15.75" customHeight="1" x14ac:dyDescent="0.25">
      <c r="A43" s="73"/>
      <c r="B43" s="88"/>
      <c r="C43" s="36"/>
      <c r="D43" s="40"/>
      <c r="E43" s="37"/>
      <c r="F43" s="98"/>
      <c r="G43" s="98"/>
      <c r="H43" s="98"/>
      <c r="I43" s="98"/>
      <c r="J43" s="98"/>
      <c r="K43" s="98"/>
      <c r="L43" s="98"/>
      <c r="M43" s="98"/>
      <c r="N43" s="98"/>
      <c r="O43" s="98"/>
      <c r="P43" s="98"/>
      <c r="Q43" s="98"/>
      <c r="R43" s="77"/>
      <c r="S43" s="78"/>
      <c r="T43" s="78"/>
    </row>
    <row r="44" spans="1:20" ht="15.75" customHeight="1" x14ac:dyDescent="0.25">
      <c r="A44" s="73"/>
      <c r="B44" s="88"/>
      <c r="C44" s="237" t="s">
        <v>112</v>
      </c>
      <c r="D44" s="208"/>
      <c r="E44" s="37"/>
      <c r="F44" s="90"/>
      <c r="G44" s="90"/>
      <c r="H44" s="90"/>
      <c r="I44" s="90"/>
      <c r="J44" s="90"/>
      <c r="K44" s="90"/>
      <c r="L44" s="90"/>
      <c r="M44" s="90"/>
      <c r="N44" s="90"/>
      <c r="O44" s="90"/>
      <c r="P44" s="90"/>
      <c r="Q44" s="90"/>
      <c r="R44" s="91"/>
      <c r="S44" s="78"/>
      <c r="T44" s="78"/>
    </row>
    <row r="45" spans="1:20" ht="15.75" customHeight="1" x14ac:dyDescent="0.25">
      <c r="A45" s="73"/>
      <c r="B45" s="88"/>
      <c r="C45" s="234" t="s">
        <v>113</v>
      </c>
      <c r="D45" s="208"/>
      <c r="E45" s="37"/>
      <c r="F45" s="92">
        <v>100</v>
      </c>
      <c r="G45" s="92">
        <v>100</v>
      </c>
      <c r="H45" s="92">
        <v>100</v>
      </c>
      <c r="I45" s="92">
        <v>100</v>
      </c>
      <c r="J45" s="92">
        <v>100</v>
      </c>
      <c r="K45" s="92">
        <v>100</v>
      </c>
      <c r="L45" s="92">
        <v>100</v>
      </c>
      <c r="M45" s="92">
        <v>100</v>
      </c>
      <c r="N45" s="92">
        <v>100</v>
      </c>
      <c r="O45" s="92">
        <v>100</v>
      </c>
      <c r="P45" s="92">
        <v>100</v>
      </c>
      <c r="Q45" s="92">
        <v>100</v>
      </c>
      <c r="R45" s="93">
        <f t="shared" ref="R45:R46" si="9">SUM(F45:Q45)</f>
        <v>1200</v>
      </c>
      <c r="S45" s="78"/>
      <c r="T45" s="78"/>
    </row>
    <row r="46" spans="1:20" ht="15.75" customHeight="1" x14ac:dyDescent="0.25">
      <c r="A46" s="73"/>
      <c r="B46" s="88"/>
      <c r="C46" s="234" t="s">
        <v>114</v>
      </c>
      <c r="D46" s="208"/>
      <c r="E46" s="37"/>
      <c r="F46" s="101">
        <v>0</v>
      </c>
      <c r="G46" s="102">
        <v>0</v>
      </c>
      <c r="H46" s="102">
        <v>0</v>
      </c>
      <c r="I46" s="102">
        <v>0</v>
      </c>
      <c r="J46" s="102">
        <v>0</v>
      </c>
      <c r="K46" s="108">
        <v>0</v>
      </c>
      <c r="L46" s="101">
        <v>0</v>
      </c>
      <c r="M46" s="101">
        <v>0</v>
      </c>
      <c r="N46" s="101">
        <v>0</v>
      </c>
      <c r="O46" s="101">
        <v>0</v>
      </c>
      <c r="P46" s="101">
        <v>0</v>
      </c>
      <c r="Q46" s="101">
        <v>0</v>
      </c>
      <c r="R46" s="93">
        <f t="shared" si="9"/>
        <v>0</v>
      </c>
      <c r="S46" s="78"/>
      <c r="T46" s="78"/>
    </row>
    <row r="47" spans="1:20" ht="15.75" customHeight="1" x14ac:dyDescent="0.25">
      <c r="A47" s="73"/>
      <c r="B47" s="88"/>
      <c r="C47" s="36"/>
      <c r="D47" s="40"/>
      <c r="E47" s="100"/>
      <c r="F47" s="90"/>
      <c r="G47" s="90"/>
      <c r="H47" s="90"/>
      <c r="I47" s="90"/>
      <c r="J47" s="90"/>
      <c r="K47" s="90"/>
      <c r="L47" s="90"/>
      <c r="M47" s="90"/>
      <c r="N47" s="90"/>
      <c r="O47" s="90"/>
      <c r="P47" s="90"/>
      <c r="Q47" s="90"/>
      <c r="R47" s="91"/>
      <c r="S47" s="78"/>
      <c r="T47" s="78"/>
    </row>
    <row r="48" spans="1:20" ht="15.75" customHeight="1" x14ac:dyDescent="0.25">
      <c r="A48" s="73"/>
      <c r="B48" s="88"/>
      <c r="C48" s="236" t="s">
        <v>115</v>
      </c>
      <c r="D48" s="208"/>
      <c r="E48" s="37"/>
      <c r="F48" s="97">
        <f t="shared" ref="F48:Q48" si="10">SUM(F45:F46)</f>
        <v>100</v>
      </c>
      <c r="G48" s="97">
        <f t="shared" si="10"/>
        <v>100</v>
      </c>
      <c r="H48" s="97">
        <f t="shared" si="10"/>
        <v>100</v>
      </c>
      <c r="I48" s="97">
        <f t="shared" si="10"/>
        <v>100</v>
      </c>
      <c r="J48" s="97">
        <f t="shared" si="10"/>
        <v>100</v>
      </c>
      <c r="K48" s="97">
        <f t="shared" si="10"/>
        <v>100</v>
      </c>
      <c r="L48" s="97">
        <f t="shared" si="10"/>
        <v>100</v>
      </c>
      <c r="M48" s="97">
        <f t="shared" si="10"/>
        <v>100</v>
      </c>
      <c r="N48" s="97">
        <f t="shared" si="10"/>
        <v>100</v>
      </c>
      <c r="O48" s="97">
        <f t="shared" si="10"/>
        <v>100</v>
      </c>
      <c r="P48" s="97">
        <f t="shared" si="10"/>
        <v>100</v>
      </c>
      <c r="Q48" s="97">
        <f t="shared" si="10"/>
        <v>100</v>
      </c>
      <c r="R48" s="93">
        <f>SUM(F48:Q48)</f>
        <v>1200</v>
      </c>
      <c r="S48" s="78"/>
      <c r="T48" s="78"/>
    </row>
    <row r="49" spans="1:20" ht="15.75" customHeight="1" x14ac:dyDescent="0.25">
      <c r="A49" s="73"/>
      <c r="B49" s="88"/>
      <c r="C49" s="36"/>
      <c r="D49" s="40"/>
      <c r="E49" s="100"/>
      <c r="F49" s="98"/>
      <c r="G49" s="98"/>
      <c r="H49" s="98"/>
      <c r="I49" s="98"/>
      <c r="J49" s="98"/>
      <c r="K49" s="98"/>
      <c r="L49" s="98"/>
      <c r="M49" s="98"/>
      <c r="N49" s="98"/>
      <c r="O49" s="98"/>
      <c r="P49" s="98"/>
      <c r="Q49" s="98"/>
      <c r="R49" s="77"/>
      <c r="S49" s="78"/>
      <c r="T49" s="78"/>
    </row>
    <row r="50" spans="1:20" ht="15.75" customHeight="1" x14ac:dyDescent="0.25">
      <c r="A50" s="73"/>
      <c r="B50" s="88"/>
      <c r="C50" s="237" t="s">
        <v>116</v>
      </c>
      <c r="D50" s="208"/>
      <c r="E50" s="37"/>
      <c r="F50" s="90"/>
      <c r="G50" s="90"/>
      <c r="H50" s="90"/>
      <c r="I50" s="90"/>
      <c r="J50" s="90"/>
      <c r="K50" s="90"/>
      <c r="L50" s="90"/>
      <c r="M50" s="90"/>
      <c r="N50" s="90"/>
      <c r="O50" s="90"/>
      <c r="P50" s="90"/>
      <c r="Q50" s="90"/>
      <c r="R50" s="91"/>
      <c r="S50" s="78"/>
      <c r="T50" s="78"/>
    </row>
    <row r="51" spans="1:20" ht="15.75" customHeight="1" x14ac:dyDescent="0.25">
      <c r="A51" s="73"/>
      <c r="B51" s="88"/>
      <c r="C51" s="234" t="s">
        <v>117</v>
      </c>
      <c r="D51" s="208"/>
      <c r="E51" s="3"/>
      <c r="F51" s="92">
        <v>2000</v>
      </c>
      <c r="G51" s="94">
        <v>2000</v>
      </c>
      <c r="H51" s="94">
        <v>2000</v>
      </c>
      <c r="I51" s="94">
        <v>2000</v>
      </c>
      <c r="J51" s="94">
        <v>1000</v>
      </c>
      <c r="K51" s="95">
        <v>1000</v>
      </c>
      <c r="L51" s="101">
        <v>0</v>
      </c>
      <c r="M51" s="102">
        <v>0</v>
      </c>
      <c r="N51" s="102">
        <v>0</v>
      </c>
      <c r="O51" s="102">
        <v>0</v>
      </c>
      <c r="P51" s="102">
        <v>0</v>
      </c>
      <c r="Q51" s="102">
        <v>0</v>
      </c>
      <c r="R51" s="93">
        <f t="shared" ref="R51:R52" si="11">SUM(F51:Q51)</f>
        <v>10000</v>
      </c>
      <c r="S51" s="78"/>
      <c r="T51" s="78"/>
    </row>
    <row r="52" spans="1:20" ht="15.75" customHeight="1" x14ac:dyDescent="0.25">
      <c r="A52" s="73"/>
      <c r="B52" s="88"/>
      <c r="C52" s="234" t="s">
        <v>118</v>
      </c>
      <c r="D52" s="208"/>
      <c r="E52" s="45"/>
      <c r="F52" s="101">
        <v>0</v>
      </c>
      <c r="G52" s="102">
        <v>0</v>
      </c>
      <c r="H52" s="102">
        <v>0</v>
      </c>
      <c r="I52" s="102">
        <v>0</v>
      </c>
      <c r="J52" s="102">
        <v>0</v>
      </c>
      <c r="K52" s="108">
        <v>0</v>
      </c>
      <c r="L52" s="101">
        <v>0</v>
      </c>
      <c r="M52" s="102">
        <v>0</v>
      </c>
      <c r="N52" s="102">
        <v>0</v>
      </c>
      <c r="O52" s="102">
        <v>0</v>
      </c>
      <c r="P52" s="102">
        <v>0</v>
      </c>
      <c r="Q52" s="102">
        <v>0</v>
      </c>
      <c r="R52" s="93">
        <f t="shared" si="11"/>
        <v>0</v>
      </c>
      <c r="S52" s="78"/>
      <c r="T52" s="78"/>
    </row>
    <row r="53" spans="1:20" ht="15.75" customHeight="1" x14ac:dyDescent="0.25">
      <c r="A53" s="73"/>
      <c r="B53" s="88"/>
      <c r="C53" s="36"/>
      <c r="D53" s="40"/>
      <c r="E53" s="37"/>
      <c r="F53" s="91"/>
      <c r="G53" s="91"/>
      <c r="H53" s="91"/>
      <c r="I53" s="91"/>
      <c r="J53" s="91"/>
      <c r="K53" s="91"/>
      <c r="L53" s="91"/>
      <c r="M53" s="91"/>
      <c r="N53" s="91"/>
      <c r="O53" s="91"/>
      <c r="P53" s="91"/>
      <c r="Q53" s="91"/>
      <c r="R53" s="96"/>
      <c r="S53" s="78"/>
      <c r="T53" s="78"/>
    </row>
    <row r="54" spans="1:20" ht="15.75" customHeight="1" x14ac:dyDescent="0.25">
      <c r="A54" s="73"/>
      <c r="B54" s="88"/>
      <c r="C54" s="236" t="s">
        <v>119</v>
      </c>
      <c r="D54" s="208"/>
      <c r="E54" s="43"/>
      <c r="F54" s="97">
        <f t="shared" ref="F54:K54" si="12">SUM(F51:F52)</f>
        <v>2000</v>
      </c>
      <c r="G54" s="97">
        <f t="shared" si="12"/>
        <v>2000</v>
      </c>
      <c r="H54" s="97">
        <f t="shared" si="12"/>
        <v>2000</v>
      </c>
      <c r="I54" s="97">
        <f t="shared" si="12"/>
        <v>2000</v>
      </c>
      <c r="J54" s="97">
        <f t="shared" si="12"/>
        <v>1000</v>
      </c>
      <c r="K54" s="97">
        <f t="shared" si="12"/>
        <v>1000</v>
      </c>
      <c r="L54" s="110">
        <v>0</v>
      </c>
      <c r="M54" s="110">
        <v>0</v>
      </c>
      <c r="N54" s="110">
        <v>0</v>
      </c>
      <c r="O54" s="110">
        <v>0</v>
      </c>
      <c r="P54" s="110">
        <v>0</v>
      </c>
      <c r="Q54" s="110">
        <v>0</v>
      </c>
      <c r="R54" s="93">
        <f>SUM(F54:Q54)</f>
        <v>10000</v>
      </c>
      <c r="S54" s="78"/>
      <c r="T54" s="78"/>
    </row>
    <row r="55" spans="1:20" ht="15.75" customHeight="1" x14ac:dyDescent="0.25">
      <c r="A55" s="73"/>
      <c r="B55" s="88"/>
      <c r="C55" s="36"/>
      <c r="D55" s="40"/>
      <c r="E55" s="37"/>
      <c r="F55" s="98"/>
      <c r="G55" s="98"/>
      <c r="H55" s="98"/>
      <c r="I55" s="98"/>
      <c r="J55" s="98"/>
      <c r="K55" s="98"/>
      <c r="L55" s="98"/>
      <c r="M55" s="98"/>
      <c r="N55" s="98"/>
      <c r="O55" s="98"/>
      <c r="P55" s="98"/>
      <c r="Q55" s="98"/>
      <c r="R55" s="77"/>
      <c r="S55" s="78"/>
      <c r="T55" s="78"/>
    </row>
    <row r="56" spans="1:20" ht="15.75" customHeight="1" x14ac:dyDescent="0.25">
      <c r="A56" s="73"/>
      <c r="B56" s="88"/>
      <c r="C56" s="237" t="s">
        <v>120</v>
      </c>
      <c r="D56" s="208"/>
      <c r="E56" s="37"/>
      <c r="F56" s="90"/>
      <c r="G56" s="90"/>
      <c r="H56" s="90"/>
      <c r="I56" s="90"/>
      <c r="J56" s="90"/>
      <c r="K56" s="90"/>
      <c r="L56" s="90"/>
      <c r="M56" s="90"/>
      <c r="N56" s="90"/>
      <c r="O56" s="90"/>
      <c r="P56" s="90"/>
      <c r="Q56" s="90"/>
      <c r="R56" s="91"/>
      <c r="S56" s="78"/>
      <c r="T56" s="78"/>
    </row>
    <row r="57" spans="1:20" ht="15.75" customHeight="1" x14ac:dyDescent="0.25">
      <c r="A57" s="73"/>
      <c r="B57" s="88"/>
      <c r="C57" s="234" t="s">
        <v>121</v>
      </c>
      <c r="D57" s="208"/>
      <c r="E57" s="37"/>
      <c r="F57" s="92" t="s">
        <v>94</v>
      </c>
      <c r="G57" s="94" t="s">
        <v>94</v>
      </c>
      <c r="H57" s="94" t="s">
        <v>94</v>
      </c>
      <c r="I57" s="94" t="s">
        <v>94</v>
      </c>
      <c r="J57" s="94" t="s">
        <v>94</v>
      </c>
      <c r="K57" s="95" t="s">
        <v>94</v>
      </c>
      <c r="L57" s="92" t="s">
        <v>94</v>
      </c>
      <c r="M57" s="94" t="s">
        <v>94</v>
      </c>
      <c r="N57" s="94" t="s">
        <v>94</v>
      </c>
      <c r="O57" s="94" t="s">
        <v>94</v>
      </c>
      <c r="P57" s="94" t="s">
        <v>94</v>
      </c>
      <c r="Q57" s="94" t="s">
        <v>94</v>
      </c>
      <c r="R57" s="93">
        <f t="shared" ref="R57:R70" si="13">SUM(F57:Q57)</f>
        <v>0</v>
      </c>
      <c r="S57" s="78"/>
      <c r="T57" s="78"/>
    </row>
    <row r="58" spans="1:20" ht="15.75" customHeight="1" x14ac:dyDescent="0.25">
      <c r="A58" s="73"/>
      <c r="B58" s="88"/>
      <c r="C58" s="234" t="s">
        <v>122</v>
      </c>
      <c r="D58" s="208"/>
      <c r="E58" s="37"/>
      <c r="F58" s="92" t="s">
        <v>94</v>
      </c>
      <c r="G58" s="94" t="s">
        <v>94</v>
      </c>
      <c r="H58" s="94" t="s">
        <v>94</v>
      </c>
      <c r="I58" s="94" t="s">
        <v>94</v>
      </c>
      <c r="J58" s="94" t="s">
        <v>94</v>
      </c>
      <c r="K58" s="95" t="s">
        <v>94</v>
      </c>
      <c r="L58" s="92" t="s">
        <v>94</v>
      </c>
      <c r="M58" s="94" t="s">
        <v>94</v>
      </c>
      <c r="N58" s="94" t="s">
        <v>94</v>
      </c>
      <c r="O58" s="94" t="s">
        <v>94</v>
      </c>
      <c r="P58" s="94" t="s">
        <v>94</v>
      </c>
      <c r="Q58" s="94" t="s">
        <v>94</v>
      </c>
      <c r="R58" s="93">
        <f t="shared" si="13"/>
        <v>0</v>
      </c>
      <c r="S58" s="78"/>
      <c r="T58" s="78"/>
    </row>
    <row r="59" spans="1:20" ht="15.75" customHeight="1" x14ac:dyDescent="0.25">
      <c r="A59" s="73"/>
      <c r="B59" s="88"/>
      <c r="C59" s="234" t="s">
        <v>123</v>
      </c>
      <c r="D59" s="208"/>
      <c r="E59" s="37"/>
      <c r="F59" s="92" t="s">
        <v>94</v>
      </c>
      <c r="G59" s="94" t="s">
        <v>94</v>
      </c>
      <c r="H59" s="94" t="s">
        <v>94</v>
      </c>
      <c r="I59" s="94" t="s">
        <v>94</v>
      </c>
      <c r="J59" s="94" t="s">
        <v>94</v>
      </c>
      <c r="K59" s="95" t="s">
        <v>94</v>
      </c>
      <c r="L59" s="92" t="s">
        <v>94</v>
      </c>
      <c r="M59" s="94" t="s">
        <v>94</v>
      </c>
      <c r="N59" s="94" t="s">
        <v>94</v>
      </c>
      <c r="O59" s="94" t="s">
        <v>94</v>
      </c>
      <c r="P59" s="94" t="s">
        <v>94</v>
      </c>
      <c r="Q59" s="94" t="s">
        <v>94</v>
      </c>
      <c r="R59" s="93">
        <f t="shared" si="13"/>
        <v>0</v>
      </c>
      <c r="S59" s="78"/>
      <c r="T59" s="78"/>
    </row>
    <row r="60" spans="1:20" ht="15.75" customHeight="1" x14ac:dyDescent="0.25">
      <c r="A60" s="73"/>
      <c r="B60" s="88"/>
      <c r="C60" s="234" t="s">
        <v>124</v>
      </c>
      <c r="D60" s="208"/>
      <c r="E60" s="100"/>
      <c r="F60" s="92" t="s">
        <v>94</v>
      </c>
      <c r="G60" s="94" t="s">
        <v>94</v>
      </c>
      <c r="H60" s="94" t="s">
        <v>94</v>
      </c>
      <c r="I60" s="94" t="s">
        <v>94</v>
      </c>
      <c r="J60" s="94" t="s">
        <v>94</v>
      </c>
      <c r="K60" s="95" t="s">
        <v>94</v>
      </c>
      <c r="L60" s="92" t="s">
        <v>94</v>
      </c>
      <c r="M60" s="94" t="s">
        <v>94</v>
      </c>
      <c r="N60" s="94" t="s">
        <v>94</v>
      </c>
      <c r="O60" s="94" t="s">
        <v>94</v>
      </c>
      <c r="P60" s="94" t="s">
        <v>94</v>
      </c>
      <c r="Q60" s="94" t="s">
        <v>94</v>
      </c>
      <c r="R60" s="93">
        <f t="shared" si="13"/>
        <v>0</v>
      </c>
      <c r="S60" s="78"/>
      <c r="T60" s="78"/>
    </row>
    <row r="61" spans="1:20" ht="15.75" customHeight="1" x14ac:dyDescent="0.25">
      <c r="A61" s="73"/>
      <c r="B61" s="88"/>
      <c r="C61" s="234" t="s">
        <v>125</v>
      </c>
      <c r="D61" s="208"/>
      <c r="E61" s="43"/>
      <c r="F61" s="92" t="s">
        <v>94</v>
      </c>
      <c r="G61" s="94" t="s">
        <v>94</v>
      </c>
      <c r="H61" s="94" t="s">
        <v>94</v>
      </c>
      <c r="I61" s="94" t="s">
        <v>94</v>
      </c>
      <c r="J61" s="94" t="s">
        <v>94</v>
      </c>
      <c r="K61" s="95" t="s">
        <v>94</v>
      </c>
      <c r="L61" s="92" t="s">
        <v>94</v>
      </c>
      <c r="M61" s="94" t="s">
        <v>94</v>
      </c>
      <c r="N61" s="94" t="s">
        <v>94</v>
      </c>
      <c r="O61" s="94" t="s">
        <v>94</v>
      </c>
      <c r="P61" s="94" t="s">
        <v>94</v>
      </c>
      <c r="Q61" s="94" t="s">
        <v>94</v>
      </c>
      <c r="R61" s="93">
        <f t="shared" si="13"/>
        <v>0</v>
      </c>
      <c r="S61" s="86"/>
      <c r="T61" s="78"/>
    </row>
    <row r="62" spans="1:20" ht="15.75" customHeight="1" x14ac:dyDescent="0.25">
      <c r="A62" s="73"/>
      <c r="B62" s="88"/>
      <c r="C62" s="234" t="s">
        <v>126</v>
      </c>
      <c r="D62" s="208"/>
      <c r="E62" s="43"/>
      <c r="F62" s="92" t="s">
        <v>94</v>
      </c>
      <c r="G62" s="94" t="s">
        <v>94</v>
      </c>
      <c r="H62" s="94" t="s">
        <v>94</v>
      </c>
      <c r="I62" s="94" t="s">
        <v>94</v>
      </c>
      <c r="J62" s="94" t="s">
        <v>94</v>
      </c>
      <c r="K62" s="95" t="s">
        <v>94</v>
      </c>
      <c r="L62" s="92" t="s">
        <v>94</v>
      </c>
      <c r="M62" s="94" t="s">
        <v>94</v>
      </c>
      <c r="N62" s="94" t="s">
        <v>94</v>
      </c>
      <c r="O62" s="94" t="s">
        <v>94</v>
      </c>
      <c r="P62" s="94" t="s">
        <v>94</v>
      </c>
      <c r="Q62" s="94" t="s">
        <v>94</v>
      </c>
      <c r="R62" s="93">
        <f t="shared" si="13"/>
        <v>0</v>
      </c>
      <c r="S62" s="78"/>
      <c r="T62" s="78"/>
    </row>
    <row r="63" spans="1:20" ht="15.75" customHeight="1" x14ac:dyDescent="0.25">
      <c r="A63" s="73"/>
      <c r="B63" s="88"/>
      <c r="C63" s="234" t="s">
        <v>127</v>
      </c>
      <c r="D63" s="208"/>
      <c r="E63" s="37"/>
      <c r="F63" s="92" t="s">
        <v>94</v>
      </c>
      <c r="G63" s="94" t="s">
        <v>94</v>
      </c>
      <c r="H63" s="94" t="s">
        <v>94</v>
      </c>
      <c r="I63" s="94" t="s">
        <v>94</v>
      </c>
      <c r="J63" s="94" t="s">
        <v>94</v>
      </c>
      <c r="K63" s="95" t="s">
        <v>94</v>
      </c>
      <c r="L63" s="92" t="s">
        <v>94</v>
      </c>
      <c r="M63" s="94" t="s">
        <v>94</v>
      </c>
      <c r="N63" s="94" t="s">
        <v>94</v>
      </c>
      <c r="O63" s="94" t="s">
        <v>94</v>
      </c>
      <c r="P63" s="94" t="s">
        <v>94</v>
      </c>
      <c r="Q63" s="94" t="s">
        <v>94</v>
      </c>
      <c r="R63" s="93">
        <f t="shared" si="13"/>
        <v>0</v>
      </c>
      <c r="S63" s="78"/>
      <c r="T63" s="78"/>
    </row>
    <row r="64" spans="1:20" ht="15.75" customHeight="1" x14ac:dyDescent="0.25">
      <c r="A64" s="73"/>
      <c r="B64" s="88"/>
      <c r="C64" s="234" t="s">
        <v>128</v>
      </c>
      <c r="D64" s="208"/>
      <c r="E64" s="37"/>
      <c r="F64" s="92">
        <v>20</v>
      </c>
      <c r="G64" s="94">
        <v>20</v>
      </c>
      <c r="H64" s="94">
        <v>20</v>
      </c>
      <c r="I64" s="94">
        <v>20</v>
      </c>
      <c r="J64" s="94">
        <v>20</v>
      </c>
      <c r="K64" s="95">
        <v>20</v>
      </c>
      <c r="L64" s="92">
        <v>20</v>
      </c>
      <c r="M64" s="94">
        <v>20</v>
      </c>
      <c r="N64" s="94">
        <v>20</v>
      </c>
      <c r="O64" s="94">
        <v>20</v>
      </c>
      <c r="P64" s="94">
        <v>20</v>
      </c>
      <c r="Q64" s="94">
        <v>20</v>
      </c>
      <c r="R64" s="93">
        <f t="shared" si="13"/>
        <v>240</v>
      </c>
      <c r="S64" s="78"/>
      <c r="T64" s="78"/>
    </row>
    <row r="65" spans="1:20" ht="15.75" customHeight="1" x14ac:dyDescent="0.25">
      <c r="A65" s="73"/>
      <c r="B65" s="88"/>
      <c r="C65" s="234" t="s">
        <v>129</v>
      </c>
      <c r="D65" s="208"/>
      <c r="E65" s="37"/>
      <c r="F65" s="92" t="s">
        <v>94</v>
      </c>
      <c r="G65" s="94" t="s">
        <v>94</v>
      </c>
      <c r="H65" s="94" t="s">
        <v>94</v>
      </c>
      <c r="I65" s="94" t="s">
        <v>94</v>
      </c>
      <c r="J65" s="94" t="s">
        <v>94</v>
      </c>
      <c r="K65" s="95" t="s">
        <v>94</v>
      </c>
      <c r="L65" s="92" t="s">
        <v>94</v>
      </c>
      <c r="M65" s="94" t="s">
        <v>94</v>
      </c>
      <c r="N65" s="94" t="s">
        <v>94</v>
      </c>
      <c r="O65" s="94" t="s">
        <v>94</v>
      </c>
      <c r="P65" s="94" t="s">
        <v>94</v>
      </c>
      <c r="Q65" s="94" t="s">
        <v>94</v>
      </c>
      <c r="R65" s="93">
        <f t="shared" si="13"/>
        <v>0</v>
      </c>
      <c r="S65" s="78"/>
      <c r="T65" s="78"/>
    </row>
    <row r="66" spans="1:20" ht="15.75" customHeight="1" x14ac:dyDescent="0.25">
      <c r="A66" s="73"/>
      <c r="B66" s="88"/>
      <c r="C66" s="234" t="s">
        <v>130</v>
      </c>
      <c r="D66" s="208"/>
      <c r="E66" s="37"/>
      <c r="F66" s="92" t="s">
        <v>94</v>
      </c>
      <c r="G66" s="94" t="s">
        <v>94</v>
      </c>
      <c r="H66" s="94" t="s">
        <v>94</v>
      </c>
      <c r="I66" s="94" t="s">
        <v>94</v>
      </c>
      <c r="J66" s="94" t="s">
        <v>94</v>
      </c>
      <c r="K66" s="95" t="s">
        <v>94</v>
      </c>
      <c r="L66" s="92" t="s">
        <v>94</v>
      </c>
      <c r="M66" s="94" t="s">
        <v>94</v>
      </c>
      <c r="N66" s="94" t="s">
        <v>94</v>
      </c>
      <c r="O66" s="94" t="s">
        <v>94</v>
      </c>
      <c r="P66" s="94" t="s">
        <v>94</v>
      </c>
      <c r="Q66" s="94" t="s">
        <v>94</v>
      </c>
      <c r="R66" s="93">
        <f t="shared" si="13"/>
        <v>0</v>
      </c>
      <c r="S66" s="78"/>
      <c r="T66" s="78"/>
    </row>
    <row r="67" spans="1:20" ht="15.75" customHeight="1" x14ac:dyDescent="0.25">
      <c r="A67" s="73"/>
      <c r="B67" s="88"/>
      <c r="C67" s="234" t="s">
        <v>131</v>
      </c>
      <c r="D67" s="208"/>
      <c r="E67" s="37"/>
      <c r="F67" s="92" t="s">
        <v>94</v>
      </c>
      <c r="G67" s="94" t="s">
        <v>94</v>
      </c>
      <c r="H67" s="94" t="s">
        <v>94</v>
      </c>
      <c r="I67" s="94" t="s">
        <v>94</v>
      </c>
      <c r="J67" s="94" t="s">
        <v>94</v>
      </c>
      <c r="K67" s="95" t="s">
        <v>94</v>
      </c>
      <c r="L67" s="92" t="s">
        <v>94</v>
      </c>
      <c r="M67" s="94" t="s">
        <v>94</v>
      </c>
      <c r="N67" s="94" t="s">
        <v>94</v>
      </c>
      <c r="O67" s="94" t="s">
        <v>94</v>
      </c>
      <c r="P67" s="94" t="s">
        <v>94</v>
      </c>
      <c r="Q67" s="94" t="s">
        <v>94</v>
      </c>
      <c r="R67" s="93">
        <f t="shared" si="13"/>
        <v>0</v>
      </c>
      <c r="S67" s="78"/>
      <c r="T67" s="78"/>
    </row>
    <row r="68" spans="1:20" ht="15.75" customHeight="1" x14ac:dyDescent="0.25">
      <c r="A68" s="73"/>
      <c r="B68" s="88"/>
      <c r="C68" s="234" t="s">
        <v>132</v>
      </c>
      <c r="D68" s="208"/>
      <c r="E68" s="100"/>
      <c r="F68" s="92" t="s">
        <v>94</v>
      </c>
      <c r="G68" s="94" t="s">
        <v>94</v>
      </c>
      <c r="H68" s="94" t="s">
        <v>94</v>
      </c>
      <c r="I68" s="94" t="s">
        <v>94</v>
      </c>
      <c r="J68" s="94" t="s">
        <v>94</v>
      </c>
      <c r="K68" s="95" t="s">
        <v>94</v>
      </c>
      <c r="L68" s="92" t="s">
        <v>94</v>
      </c>
      <c r="M68" s="94" t="s">
        <v>94</v>
      </c>
      <c r="N68" s="94" t="s">
        <v>94</v>
      </c>
      <c r="O68" s="94" t="s">
        <v>94</v>
      </c>
      <c r="P68" s="94" t="s">
        <v>94</v>
      </c>
      <c r="Q68" s="94" t="s">
        <v>94</v>
      </c>
      <c r="R68" s="93">
        <f t="shared" si="13"/>
        <v>0</v>
      </c>
      <c r="S68" s="78"/>
      <c r="T68" s="78"/>
    </row>
    <row r="69" spans="1:20" ht="15.75" customHeight="1" x14ac:dyDescent="0.25">
      <c r="A69" s="73"/>
      <c r="B69" s="88"/>
      <c r="C69" s="234" t="s">
        <v>133</v>
      </c>
      <c r="D69" s="208"/>
      <c r="E69" s="37"/>
      <c r="F69" s="92">
        <v>2500</v>
      </c>
      <c r="G69" s="94" t="s">
        <v>94</v>
      </c>
      <c r="H69" s="94" t="s">
        <v>94</v>
      </c>
      <c r="I69" s="94">
        <v>1000</v>
      </c>
      <c r="J69" s="94">
        <v>1000</v>
      </c>
      <c r="K69" s="95">
        <v>1000</v>
      </c>
      <c r="L69" s="92">
        <v>1000</v>
      </c>
      <c r="M69" s="94">
        <v>1000</v>
      </c>
      <c r="N69" s="94">
        <v>1000</v>
      </c>
      <c r="O69" s="102">
        <v>1000</v>
      </c>
      <c r="P69" s="102">
        <v>1000</v>
      </c>
      <c r="Q69" s="102">
        <v>1000</v>
      </c>
      <c r="R69" s="93">
        <f t="shared" si="13"/>
        <v>11500</v>
      </c>
      <c r="S69" s="78"/>
      <c r="T69" s="78"/>
    </row>
    <row r="70" spans="1:20" ht="15.75" customHeight="1" x14ac:dyDescent="0.25">
      <c r="A70" s="73"/>
      <c r="B70" s="88"/>
      <c r="C70" s="234" t="s">
        <v>134</v>
      </c>
      <c r="D70" s="208"/>
      <c r="E70" s="43"/>
      <c r="F70" s="92" t="s">
        <v>94</v>
      </c>
      <c r="G70" s="94" t="s">
        <v>94</v>
      </c>
      <c r="H70" s="94" t="s">
        <v>94</v>
      </c>
      <c r="I70" s="94" t="s">
        <v>94</v>
      </c>
      <c r="J70" s="94" t="s">
        <v>94</v>
      </c>
      <c r="K70" s="95" t="s">
        <v>94</v>
      </c>
      <c r="L70" s="92" t="s">
        <v>94</v>
      </c>
      <c r="M70" s="94" t="s">
        <v>94</v>
      </c>
      <c r="N70" s="94" t="s">
        <v>94</v>
      </c>
      <c r="O70" s="94" t="s">
        <v>94</v>
      </c>
      <c r="P70" s="94" t="s">
        <v>94</v>
      </c>
      <c r="Q70" s="94" t="s">
        <v>94</v>
      </c>
      <c r="R70" s="93">
        <f t="shared" si="13"/>
        <v>0</v>
      </c>
      <c r="S70" s="78"/>
      <c r="T70" s="78"/>
    </row>
    <row r="71" spans="1:20" ht="15.75" customHeight="1" x14ac:dyDescent="0.25">
      <c r="A71" s="73"/>
      <c r="B71" s="88"/>
      <c r="C71" s="36"/>
      <c r="D71" s="40"/>
      <c r="E71" s="37"/>
      <c r="F71" s="90"/>
      <c r="G71" s="90"/>
      <c r="H71" s="90"/>
      <c r="I71" s="90"/>
      <c r="J71" s="90"/>
      <c r="K71" s="90"/>
      <c r="L71" s="90"/>
      <c r="M71" s="90"/>
      <c r="N71" s="90"/>
      <c r="O71" s="90"/>
      <c r="P71" s="90"/>
      <c r="Q71" s="90"/>
      <c r="R71" s="91"/>
      <c r="S71" s="78"/>
      <c r="T71" s="78"/>
    </row>
    <row r="72" spans="1:20" ht="15.75" customHeight="1" x14ac:dyDescent="0.25">
      <c r="A72" s="73"/>
      <c r="B72" s="88"/>
      <c r="C72" s="236" t="s">
        <v>135</v>
      </c>
      <c r="D72" s="208"/>
      <c r="E72" s="37"/>
      <c r="F72" s="97">
        <f t="shared" ref="F72:Q72" si="14">SUM(F57:F70)</f>
        <v>2520</v>
      </c>
      <c r="G72" s="97">
        <f t="shared" si="14"/>
        <v>20</v>
      </c>
      <c r="H72" s="97">
        <f t="shared" si="14"/>
        <v>20</v>
      </c>
      <c r="I72" s="97">
        <f t="shared" si="14"/>
        <v>1020</v>
      </c>
      <c r="J72" s="97">
        <f t="shared" si="14"/>
        <v>1020</v>
      </c>
      <c r="K72" s="97">
        <f t="shared" si="14"/>
        <v>1020</v>
      </c>
      <c r="L72" s="97">
        <f t="shared" si="14"/>
        <v>1020</v>
      </c>
      <c r="M72" s="97">
        <f t="shared" si="14"/>
        <v>1020</v>
      </c>
      <c r="N72" s="97">
        <f t="shared" si="14"/>
        <v>1020</v>
      </c>
      <c r="O72" s="97">
        <f t="shared" si="14"/>
        <v>1020</v>
      </c>
      <c r="P72" s="97">
        <f t="shared" si="14"/>
        <v>1020</v>
      </c>
      <c r="Q72" s="97">
        <f t="shared" si="14"/>
        <v>1020</v>
      </c>
      <c r="R72" s="93">
        <f>SUM(F72:Q72)</f>
        <v>11740</v>
      </c>
      <c r="S72" s="78"/>
      <c r="T72" s="78"/>
    </row>
    <row r="73" spans="1:20" ht="15.75" customHeight="1" x14ac:dyDescent="0.25">
      <c r="A73" s="73"/>
      <c r="B73" s="88"/>
      <c r="C73" s="36"/>
      <c r="D73" s="40"/>
      <c r="E73" s="37"/>
      <c r="F73" s="98"/>
      <c r="G73" s="98"/>
      <c r="H73" s="98"/>
      <c r="I73" s="98"/>
      <c r="J73" s="98"/>
      <c r="K73" s="98"/>
      <c r="L73" s="98"/>
      <c r="M73" s="98"/>
      <c r="N73" s="98"/>
      <c r="O73" s="98"/>
      <c r="P73" s="98"/>
      <c r="Q73" s="98"/>
      <c r="R73" s="77"/>
      <c r="S73" s="78"/>
      <c r="T73" s="78"/>
    </row>
    <row r="74" spans="1:20" ht="15.75" customHeight="1" x14ac:dyDescent="0.25">
      <c r="A74" s="73"/>
      <c r="B74" s="88"/>
      <c r="C74" s="237" t="s">
        <v>136</v>
      </c>
      <c r="D74" s="208"/>
      <c r="E74" s="37"/>
      <c r="F74" s="90"/>
      <c r="G74" s="90"/>
      <c r="H74" s="90"/>
      <c r="I74" s="90"/>
      <c r="J74" s="90"/>
      <c r="K74" s="90"/>
      <c r="L74" s="90"/>
      <c r="M74" s="90"/>
      <c r="N74" s="90"/>
      <c r="O74" s="90"/>
      <c r="P74" s="90"/>
      <c r="Q74" s="90"/>
      <c r="R74" s="91"/>
      <c r="S74" s="78"/>
      <c r="T74" s="78"/>
    </row>
    <row r="75" spans="1:20" ht="15.75" customHeight="1" x14ac:dyDescent="0.25">
      <c r="A75" s="73"/>
      <c r="B75" s="88"/>
      <c r="C75" s="234" t="s">
        <v>137</v>
      </c>
      <c r="D75" s="208"/>
      <c r="E75" s="37"/>
      <c r="F75" s="101">
        <v>0</v>
      </c>
      <c r="G75" s="102">
        <v>0</v>
      </c>
      <c r="H75" s="102">
        <v>0</v>
      </c>
      <c r="I75" s="102">
        <v>0</v>
      </c>
      <c r="J75" s="102">
        <v>0</v>
      </c>
      <c r="K75" s="108">
        <v>0</v>
      </c>
      <c r="L75" s="101">
        <v>0</v>
      </c>
      <c r="M75" s="102">
        <v>0</v>
      </c>
      <c r="N75" s="102">
        <v>0</v>
      </c>
      <c r="O75" s="94">
        <v>0</v>
      </c>
      <c r="P75" s="94">
        <v>0</v>
      </c>
      <c r="Q75" s="94">
        <v>0</v>
      </c>
      <c r="R75" s="93">
        <f t="shared" ref="R75:R90" si="15">SUM(F75:Q75)</f>
        <v>0</v>
      </c>
      <c r="S75" s="78"/>
      <c r="T75" s="78"/>
    </row>
    <row r="76" spans="1:20" ht="15.75" customHeight="1" x14ac:dyDescent="0.25">
      <c r="A76" s="73"/>
      <c r="B76" s="88"/>
      <c r="C76" s="234" t="s">
        <v>138</v>
      </c>
      <c r="D76" s="208"/>
      <c r="E76" s="37"/>
      <c r="F76" s="92" t="s">
        <v>94</v>
      </c>
      <c r="G76" s="94" t="s">
        <v>94</v>
      </c>
      <c r="H76" s="94" t="s">
        <v>94</v>
      </c>
      <c r="I76" s="94" t="s">
        <v>94</v>
      </c>
      <c r="J76" s="94" t="s">
        <v>94</v>
      </c>
      <c r="K76" s="95" t="s">
        <v>94</v>
      </c>
      <c r="L76" s="92" t="s">
        <v>94</v>
      </c>
      <c r="M76" s="94">
        <v>0</v>
      </c>
      <c r="N76" s="94" t="s">
        <v>94</v>
      </c>
      <c r="O76" s="94">
        <v>0</v>
      </c>
      <c r="P76" s="94">
        <v>0</v>
      </c>
      <c r="Q76" s="102">
        <v>80000</v>
      </c>
      <c r="R76" s="93">
        <f t="shared" si="15"/>
        <v>80000</v>
      </c>
      <c r="S76" s="78"/>
      <c r="T76" s="78"/>
    </row>
    <row r="77" spans="1:20" ht="15.75" customHeight="1" x14ac:dyDescent="0.25">
      <c r="A77" s="73"/>
      <c r="B77" s="88"/>
      <c r="C77" s="234" t="s">
        <v>139</v>
      </c>
      <c r="D77" s="208"/>
      <c r="E77" s="37"/>
      <c r="F77" s="92" t="s">
        <v>94</v>
      </c>
      <c r="G77" s="94" t="s">
        <v>94</v>
      </c>
      <c r="H77" s="94" t="s">
        <v>94</v>
      </c>
      <c r="I77" s="94" t="s">
        <v>94</v>
      </c>
      <c r="J77" s="94" t="s">
        <v>94</v>
      </c>
      <c r="K77" s="95" t="s">
        <v>94</v>
      </c>
      <c r="L77" s="92" t="s">
        <v>94</v>
      </c>
      <c r="M77" s="94" t="s">
        <v>94</v>
      </c>
      <c r="N77" s="94" t="s">
        <v>94</v>
      </c>
      <c r="O77" s="94">
        <v>0</v>
      </c>
      <c r="P77" s="94">
        <v>0</v>
      </c>
      <c r="Q77" s="94">
        <v>0</v>
      </c>
      <c r="R77" s="93">
        <f t="shared" si="15"/>
        <v>0</v>
      </c>
      <c r="S77" s="78"/>
      <c r="T77" s="78"/>
    </row>
    <row r="78" spans="1:20" ht="15.75" customHeight="1" x14ac:dyDescent="0.25">
      <c r="A78" s="73"/>
      <c r="B78" s="88"/>
      <c r="C78" s="36" t="s">
        <v>140</v>
      </c>
      <c r="D78" s="40"/>
      <c r="E78" s="37"/>
      <c r="F78" s="92" t="s">
        <v>94</v>
      </c>
      <c r="G78" s="94" t="s">
        <v>94</v>
      </c>
      <c r="H78" s="94" t="s">
        <v>94</v>
      </c>
      <c r="I78" s="94" t="s">
        <v>94</v>
      </c>
      <c r="J78" s="94" t="s">
        <v>94</v>
      </c>
      <c r="K78" s="95" t="s">
        <v>94</v>
      </c>
      <c r="L78" s="92" t="s">
        <v>94</v>
      </c>
      <c r="M78" s="94" t="s">
        <v>94</v>
      </c>
      <c r="N78" s="94" t="s">
        <v>94</v>
      </c>
      <c r="O78" s="94">
        <v>0</v>
      </c>
      <c r="P78" s="94">
        <v>0</v>
      </c>
      <c r="Q78" s="94">
        <v>0</v>
      </c>
      <c r="R78" s="93">
        <f t="shared" si="15"/>
        <v>0</v>
      </c>
      <c r="S78" s="78"/>
      <c r="T78" s="78"/>
    </row>
    <row r="79" spans="1:20" ht="15.75" customHeight="1" x14ac:dyDescent="0.25">
      <c r="A79" s="73"/>
      <c r="B79" s="88"/>
      <c r="C79" s="36" t="s">
        <v>141</v>
      </c>
      <c r="D79" s="40"/>
      <c r="E79" s="37"/>
      <c r="F79" s="92" t="s">
        <v>94</v>
      </c>
      <c r="G79" s="94" t="s">
        <v>94</v>
      </c>
      <c r="H79" s="94" t="s">
        <v>94</v>
      </c>
      <c r="I79" s="94" t="s">
        <v>94</v>
      </c>
      <c r="J79" s="94" t="s">
        <v>94</v>
      </c>
      <c r="K79" s="95" t="s">
        <v>94</v>
      </c>
      <c r="L79" s="92" t="s">
        <v>94</v>
      </c>
      <c r="M79" s="94" t="s">
        <v>94</v>
      </c>
      <c r="N79" s="94" t="s">
        <v>94</v>
      </c>
      <c r="O79" s="94">
        <v>0</v>
      </c>
      <c r="P79" s="94">
        <v>0</v>
      </c>
      <c r="Q79" s="94">
        <v>0</v>
      </c>
      <c r="R79" s="93">
        <f t="shared" si="15"/>
        <v>0</v>
      </c>
      <c r="S79" s="78"/>
      <c r="T79" s="78"/>
    </row>
    <row r="80" spans="1:20" ht="15.75" customHeight="1" x14ac:dyDescent="0.25">
      <c r="A80" s="73"/>
      <c r="B80" s="88"/>
      <c r="C80" s="36" t="s">
        <v>142</v>
      </c>
      <c r="D80" s="40"/>
      <c r="E80" s="37"/>
      <c r="F80" s="92" t="s">
        <v>94</v>
      </c>
      <c r="G80" s="94" t="s">
        <v>94</v>
      </c>
      <c r="H80" s="94" t="s">
        <v>94</v>
      </c>
      <c r="I80" s="94" t="s">
        <v>94</v>
      </c>
      <c r="J80" s="94" t="s">
        <v>94</v>
      </c>
      <c r="K80" s="95" t="s">
        <v>94</v>
      </c>
      <c r="L80" s="92" t="s">
        <v>94</v>
      </c>
      <c r="M80" s="94" t="s">
        <v>94</v>
      </c>
      <c r="N80" s="94" t="s">
        <v>94</v>
      </c>
      <c r="O80" s="94">
        <v>0</v>
      </c>
      <c r="P80" s="94">
        <v>0</v>
      </c>
      <c r="Q80" s="94">
        <v>0</v>
      </c>
      <c r="R80" s="93">
        <f t="shared" si="15"/>
        <v>0</v>
      </c>
      <c r="S80" s="78"/>
      <c r="T80" s="78"/>
    </row>
    <row r="81" spans="1:20" ht="15.75" customHeight="1" x14ac:dyDescent="0.25">
      <c r="A81" s="73"/>
      <c r="B81" s="88"/>
      <c r="C81" s="36" t="s">
        <v>143</v>
      </c>
      <c r="D81" s="40"/>
      <c r="E81" s="100"/>
      <c r="F81" s="92" t="s">
        <v>94</v>
      </c>
      <c r="G81" s="94" t="s">
        <v>94</v>
      </c>
      <c r="H81" s="94" t="s">
        <v>94</v>
      </c>
      <c r="I81" s="94" t="s">
        <v>94</v>
      </c>
      <c r="J81" s="94" t="s">
        <v>94</v>
      </c>
      <c r="K81" s="95" t="s">
        <v>94</v>
      </c>
      <c r="L81" s="92" t="s">
        <v>94</v>
      </c>
      <c r="M81" s="94" t="s">
        <v>94</v>
      </c>
      <c r="N81" s="94" t="s">
        <v>94</v>
      </c>
      <c r="O81" s="94">
        <v>0</v>
      </c>
      <c r="P81" s="94">
        <v>0</v>
      </c>
      <c r="Q81" s="94">
        <v>0</v>
      </c>
      <c r="R81" s="93">
        <f t="shared" si="15"/>
        <v>0</v>
      </c>
      <c r="S81" s="78"/>
      <c r="T81" s="78"/>
    </row>
    <row r="82" spans="1:20" ht="15.75" customHeight="1" x14ac:dyDescent="0.25">
      <c r="A82" s="73"/>
      <c r="B82" s="88"/>
      <c r="C82" s="36" t="s">
        <v>144</v>
      </c>
      <c r="D82" s="40"/>
      <c r="E82" s="37"/>
      <c r="F82" s="92" t="s">
        <v>94</v>
      </c>
      <c r="G82" s="94" t="s">
        <v>94</v>
      </c>
      <c r="H82" s="94" t="s">
        <v>94</v>
      </c>
      <c r="I82" s="94" t="s">
        <v>94</v>
      </c>
      <c r="J82" s="94" t="s">
        <v>94</v>
      </c>
      <c r="K82" s="95" t="s">
        <v>94</v>
      </c>
      <c r="L82" s="92" t="s">
        <v>94</v>
      </c>
      <c r="M82" s="94" t="s">
        <v>94</v>
      </c>
      <c r="N82" s="94" t="s">
        <v>94</v>
      </c>
      <c r="O82" s="94">
        <v>0</v>
      </c>
      <c r="P82" s="94">
        <v>0</v>
      </c>
      <c r="Q82" s="94">
        <v>0</v>
      </c>
      <c r="R82" s="93">
        <f t="shared" si="15"/>
        <v>0</v>
      </c>
      <c r="S82" s="78"/>
      <c r="T82" s="78"/>
    </row>
    <row r="83" spans="1:20" ht="15.75" customHeight="1" x14ac:dyDescent="0.25">
      <c r="A83" s="73"/>
      <c r="B83" s="88"/>
      <c r="C83" s="234" t="s">
        <v>145</v>
      </c>
      <c r="D83" s="208"/>
      <c r="E83" s="100"/>
      <c r="F83" s="92" t="s">
        <v>94</v>
      </c>
      <c r="G83" s="94" t="s">
        <v>94</v>
      </c>
      <c r="H83" s="94" t="s">
        <v>94</v>
      </c>
      <c r="I83" s="94" t="s">
        <v>94</v>
      </c>
      <c r="J83" s="94" t="s">
        <v>94</v>
      </c>
      <c r="K83" s="95" t="s">
        <v>94</v>
      </c>
      <c r="L83" s="92" t="s">
        <v>94</v>
      </c>
      <c r="M83" s="94" t="s">
        <v>94</v>
      </c>
      <c r="N83" s="94" t="s">
        <v>94</v>
      </c>
      <c r="O83" s="94">
        <v>0</v>
      </c>
      <c r="P83" s="94">
        <v>0</v>
      </c>
      <c r="Q83" s="102">
        <v>85000</v>
      </c>
      <c r="R83" s="93">
        <f t="shared" si="15"/>
        <v>85000</v>
      </c>
      <c r="S83" s="78"/>
      <c r="T83" s="78"/>
    </row>
    <row r="84" spans="1:20" ht="15.75" customHeight="1" x14ac:dyDescent="0.25">
      <c r="A84" s="73"/>
      <c r="B84" s="88"/>
      <c r="C84" s="234" t="s">
        <v>146</v>
      </c>
      <c r="D84" s="208"/>
      <c r="E84" s="37"/>
      <c r="F84" s="92" t="s">
        <v>94</v>
      </c>
      <c r="G84" s="94" t="s">
        <v>94</v>
      </c>
      <c r="H84" s="94" t="s">
        <v>94</v>
      </c>
      <c r="I84" s="94" t="s">
        <v>94</v>
      </c>
      <c r="J84" s="94" t="s">
        <v>94</v>
      </c>
      <c r="K84" s="95" t="s">
        <v>94</v>
      </c>
      <c r="L84" s="92" t="s">
        <v>94</v>
      </c>
      <c r="M84" s="94" t="s">
        <v>94</v>
      </c>
      <c r="N84" s="94" t="s">
        <v>94</v>
      </c>
      <c r="O84" s="94">
        <v>0</v>
      </c>
      <c r="P84" s="94">
        <v>0</v>
      </c>
      <c r="Q84" s="94">
        <v>0</v>
      </c>
      <c r="R84" s="93">
        <f t="shared" si="15"/>
        <v>0</v>
      </c>
      <c r="S84" s="78"/>
      <c r="T84" s="78"/>
    </row>
    <row r="85" spans="1:20" ht="15.75" customHeight="1" x14ac:dyDescent="0.25">
      <c r="A85" s="73"/>
      <c r="B85" s="88"/>
      <c r="C85" s="234" t="s">
        <v>147</v>
      </c>
      <c r="D85" s="208"/>
      <c r="E85" s="43"/>
      <c r="F85" s="92" t="s">
        <v>94</v>
      </c>
      <c r="G85" s="94" t="s">
        <v>94</v>
      </c>
      <c r="H85" s="94" t="s">
        <v>94</v>
      </c>
      <c r="I85" s="94" t="s">
        <v>94</v>
      </c>
      <c r="J85" s="94" t="s">
        <v>94</v>
      </c>
      <c r="K85" s="95" t="s">
        <v>94</v>
      </c>
      <c r="L85" s="92" t="s">
        <v>94</v>
      </c>
      <c r="M85" s="94" t="s">
        <v>94</v>
      </c>
      <c r="N85" s="94" t="s">
        <v>94</v>
      </c>
      <c r="O85" s="94">
        <v>0</v>
      </c>
      <c r="P85" s="94">
        <v>0</v>
      </c>
      <c r="Q85" s="94">
        <v>0</v>
      </c>
      <c r="R85" s="93">
        <f t="shared" si="15"/>
        <v>0</v>
      </c>
      <c r="S85" s="78"/>
      <c r="T85" s="78"/>
    </row>
    <row r="86" spans="1:20" ht="15.75" customHeight="1" x14ac:dyDescent="0.25">
      <c r="A86" s="73"/>
      <c r="B86" s="88"/>
      <c r="C86" s="234" t="s">
        <v>148</v>
      </c>
      <c r="D86" s="208"/>
      <c r="E86" s="37"/>
      <c r="F86" s="92" t="s">
        <v>94</v>
      </c>
      <c r="G86" s="94" t="s">
        <v>94</v>
      </c>
      <c r="H86" s="94" t="s">
        <v>94</v>
      </c>
      <c r="I86" s="94" t="s">
        <v>94</v>
      </c>
      <c r="J86" s="94" t="s">
        <v>94</v>
      </c>
      <c r="K86" s="95" t="s">
        <v>94</v>
      </c>
      <c r="L86" s="92" t="s">
        <v>94</v>
      </c>
      <c r="M86" s="94" t="s">
        <v>94</v>
      </c>
      <c r="N86" s="94" t="s">
        <v>94</v>
      </c>
      <c r="O86" s="94">
        <v>0</v>
      </c>
      <c r="P86" s="94">
        <v>0</v>
      </c>
      <c r="Q86" s="94">
        <v>0</v>
      </c>
      <c r="R86" s="93">
        <f t="shared" si="15"/>
        <v>0</v>
      </c>
      <c r="S86" s="78"/>
      <c r="T86" s="78"/>
    </row>
    <row r="87" spans="1:20" ht="15.75" customHeight="1" x14ac:dyDescent="0.25">
      <c r="A87" s="73"/>
      <c r="B87" s="88"/>
      <c r="C87" s="234" t="s">
        <v>149</v>
      </c>
      <c r="D87" s="208"/>
      <c r="E87" s="37"/>
      <c r="F87" s="92" t="s">
        <v>94</v>
      </c>
      <c r="G87" s="94" t="s">
        <v>94</v>
      </c>
      <c r="H87" s="94" t="s">
        <v>94</v>
      </c>
      <c r="I87" s="94" t="s">
        <v>94</v>
      </c>
      <c r="J87" s="94" t="s">
        <v>94</v>
      </c>
      <c r="K87" s="95" t="s">
        <v>94</v>
      </c>
      <c r="L87" s="92" t="s">
        <v>94</v>
      </c>
      <c r="M87" s="94" t="s">
        <v>94</v>
      </c>
      <c r="N87" s="94" t="s">
        <v>94</v>
      </c>
      <c r="O87" s="94">
        <v>0</v>
      </c>
      <c r="P87" s="94">
        <v>0</v>
      </c>
      <c r="Q87" s="94">
        <v>0</v>
      </c>
      <c r="R87" s="93">
        <f t="shared" si="15"/>
        <v>0</v>
      </c>
      <c r="S87" s="78"/>
      <c r="T87" s="78"/>
    </row>
    <row r="88" spans="1:20" ht="15.75" customHeight="1" x14ac:dyDescent="0.25">
      <c r="A88" s="73"/>
      <c r="B88" s="88"/>
      <c r="C88" s="234" t="s">
        <v>150</v>
      </c>
      <c r="D88" s="208"/>
      <c r="E88" s="37"/>
      <c r="F88" s="92" t="s">
        <v>94</v>
      </c>
      <c r="G88" s="94" t="s">
        <v>94</v>
      </c>
      <c r="H88" s="94" t="s">
        <v>94</v>
      </c>
      <c r="I88" s="94" t="s">
        <v>94</v>
      </c>
      <c r="J88" s="94" t="s">
        <v>94</v>
      </c>
      <c r="K88" s="95" t="s">
        <v>94</v>
      </c>
      <c r="L88" s="92" t="s">
        <v>94</v>
      </c>
      <c r="M88" s="94" t="s">
        <v>94</v>
      </c>
      <c r="N88" s="94" t="s">
        <v>94</v>
      </c>
      <c r="O88" s="94">
        <v>0</v>
      </c>
      <c r="P88" s="94">
        <v>0</v>
      </c>
      <c r="Q88" s="94">
        <v>0</v>
      </c>
      <c r="R88" s="93">
        <f t="shared" si="15"/>
        <v>0</v>
      </c>
      <c r="S88" s="78"/>
      <c r="T88" s="78"/>
    </row>
    <row r="89" spans="1:20" ht="15.75" customHeight="1" x14ac:dyDescent="0.25">
      <c r="A89" s="73"/>
      <c r="B89" s="88"/>
      <c r="C89" s="234" t="s">
        <v>151</v>
      </c>
      <c r="D89" s="208"/>
      <c r="E89" s="37"/>
      <c r="F89" s="92" t="s">
        <v>94</v>
      </c>
      <c r="G89" s="94" t="s">
        <v>94</v>
      </c>
      <c r="H89" s="94" t="s">
        <v>94</v>
      </c>
      <c r="I89" s="94" t="s">
        <v>94</v>
      </c>
      <c r="J89" s="94" t="s">
        <v>94</v>
      </c>
      <c r="K89" s="95" t="s">
        <v>94</v>
      </c>
      <c r="L89" s="92" t="s">
        <v>94</v>
      </c>
      <c r="M89" s="94" t="s">
        <v>94</v>
      </c>
      <c r="N89" s="94" t="s">
        <v>94</v>
      </c>
      <c r="O89" s="94">
        <v>0</v>
      </c>
      <c r="P89" s="94">
        <v>0</v>
      </c>
      <c r="Q89" s="94">
        <v>0</v>
      </c>
      <c r="R89" s="93">
        <f t="shared" si="15"/>
        <v>0</v>
      </c>
      <c r="S89" s="78"/>
      <c r="T89" s="78"/>
    </row>
    <row r="90" spans="1:20" ht="15.75" customHeight="1" x14ac:dyDescent="0.25">
      <c r="A90" s="73"/>
      <c r="B90" s="88"/>
      <c r="C90" s="234" t="s">
        <v>152</v>
      </c>
      <c r="D90" s="208"/>
      <c r="E90" s="37"/>
      <c r="F90" s="92" t="s">
        <v>94</v>
      </c>
      <c r="G90" s="94" t="s">
        <v>94</v>
      </c>
      <c r="H90" s="94" t="s">
        <v>94</v>
      </c>
      <c r="I90" s="94" t="s">
        <v>94</v>
      </c>
      <c r="J90" s="94" t="s">
        <v>94</v>
      </c>
      <c r="K90" s="95" t="s">
        <v>94</v>
      </c>
      <c r="L90" s="92" t="s">
        <v>94</v>
      </c>
      <c r="M90" s="94" t="s">
        <v>94</v>
      </c>
      <c r="N90" s="94" t="s">
        <v>94</v>
      </c>
      <c r="O90" s="94">
        <v>0</v>
      </c>
      <c r="P90" s="94">
        <v>0</v>
      </c>
      <c r="Q90" s="94">
        <v>0</v>
      </c>
      <c r="R90" s="93">
        <f t="shared" si="15"/>
        <v>0</v>
      </c>
      <c r="S90" s="78"/>
      <c r="T90" s="78"/>
    </row>
    <row r="91" spans="1:20" ht="15.75" customHeight="1" x14ac:dyDescent="0.25">
      <c r="A91" s="73"/>
      <c r="B91" s="88"/>
      <c r="C91" s="36"/>
      <c r="D91" s="40"/>
      <c r="E91" s="100"/>
      <c r="F91" s="90"/>
      <c r="G91" s="90"/>
      <c r="H91" s="90"/>
      <c r="I91" s="90"/>
      <c r="J91" s="90"/>
      <c r="K91" s="90"/>
      <c r="L91" s="90"/>
      <c r="M91" s="90"/>
      <c r="N91" s="90"/>
      <c r="O91" s="90"/>
      <c r="P91" s="90"/>
      <c r="Q91" s="90"/>
      <c r="R91" s="91"/>
      <c r="S91" s="78"/>
      <c r="T91" s="78"/>
    </row>
    <row r="92" spans="1:20" ht="15.75" customHeight="1" x14ac:dyDescent="0.25">
      <c r="A92" s="73"/>
      <c r="B92" s="88"/>
      <c r="C92" s="236" t="s">
        <v>153</v>
      </c>
      <c r="D92" s="208"/>
      <c r="E92" s="37"/>
      <c r="F92" s="97">
        <f t="shared" ref="F92:Q92" si="16">SUM(F75:F90)</f>
        <v>0</v>
      </c>
      <c r="G92" s="97">
        <f t="shared" si="16"/>
        <v>0</v>
      </c>
      <c r="H92" s="97">
        <f t="shared" si="16"/>
        <v>0</v>
      </c>
      <c r="I92" s="97">
        <f t="shared" si="16"/>
        <v>0</v>
      </c>
      <c r="J92" s="97">
        <f t="shared" si="16"/>
        <v>0</v>
      </c>
      <c r="K92" s="97">
        <f t="shared" si="16"/>
        <v>0</v>
      </c>
      <c r="L92" s="97">
        <f t="shared" si="16"/>
        <v>0</v>
      </c>
      <c r="M92" s="97">
        <f t="shared" si="16"/>
        <v>0</v>
      </c>
      <c r="N92" s="97">
        <f t="shared" si="16"/>
        <v>0</v>
      </c>
      <c r="O92" s="97">
        <f t="shared" si="16"/>
        <v>0</v>
      </c>
      <c r="P92" s="97">
        <f t="shared" si="16"/>
        <v>0</v>
      </c>
      <c r="Q92" s="97">
        <f t="shared" si="16"/>
        <v>165000</v>
      </c>
      <c r="R92" s="93">
        <f>SUM(F92:Q92)</f>
        <v>165000</v>
      </c>
      <c r="S92" s="78"/>
      <c r="T92" s="78"/>
    </row>
    <row r="93" spans="1:20" ht="15.75" customHeight="1" x14ac:dyDescent="0.25">
      <c r="A93" s="73"/>
      <c r="B93" s="88"/>
      <c r="C93" s="36"/>
      <c r="D93" s="40"/>
      <c r="E93" s="100"/>
      <c r="F93" s="98"/>
      <c r="G93" s="98"/>
      <c r="H93" s="98"/>
      <c r="I93" s="98"/>
      <c r="J93" s="98"/>
      <c r="K93" s="98"/>
      <c r="L93" s="98"/>
      <c r="M93" s="98"/>
      <c r="N93" s="98"/>
      <c r="O93" s="98"/>
      <c r="P93" s="98"/>
      <c r="Q93" s="98"/>
      <c r="R93" s="77"/>
      <c r="S93" s="78"/>
      <c r="T93" s="78"/>
    </row>
    <row r="94" spans="1:20" ht="15.75" customHeight="1" x14ac:dyDescent="0.25">
      <c r="A94" s="73"/>
      <c r="B94" s="88"/>
      <c r="C94" s="237" t="s">
        <v>154</v>
      </c>
      <c r="D94" s="208"/>
      <c r="E94" s="37"/>
      <c r="F94" s="90"/>
      <c r="G94" s="90"/>
      <c r="H94" s="90"/>
      <c r="I94" s="90"/>
      <c r="J94" s="90"/>
      <c r="K94" s="90"/>
      <c r="L94" s="90"/>
      <c r="M94" s="90"/>
      <c r="N94" s="90"/>
      <c r="O94" s="90"/>
      <c r="P94" s="90"/>
      <c r="Q94" s="90"/>
      <c r="R94" s="91"/>
      <c r="S94" s="78"/>
      <c r="T94" s="78"/>
    </row>
    <row r="95" spans="1:20" ht="15.75" customHeight="1" x14ac:dyDescent="0.25">
      <c r="A95" s="73"/>
      <c r="B95" s="88"/>
      <c r="C95" s="234" t="s">
        <v>155</v>
      </c>
      <c r="D95" s="208"/>
      <c r="E95" s="37"/>
      <c r="F95" s="101">
        <v>0</v>
      </c>
      <c r="G95" s="102">
        <v>0</v>
      </c>
      <c r="H95" s="102">
        <v>0</v>
      </c>
      <c r="I95" s="102">
        <v>0</v>
      </c>
      <c r="J95" s="102">
        <v>0</v>
      </c>
      <c r="K95" s="108">
        <v>0</v>
      </c>
      <c r="L95" s="101">
        <v>0</v>
      </c>
      <c r="M95" s="102">
        <v>0</v>
      </c>
      <c r="N95" s="102">
        <v>0</v>
      </c>
      <c r="O95" s="102">
        <v>0</v>
      </c>
      <c r="P95" s="102">
        <v>0</v>
      </c>
      <c r="Q95" s="102">
        <v>0</v>
      </c>
      <c r="R95" s="93">
        <f t="shared" ref="R95:R97" si="17">SUM(F95:Q95)</f>
        <v>0</v>
      </c>
      <c r="S95" s="78"/>
      <c r="T95" s="78"/>
    </row>
    <row r="96" spans="1:20" ht="15.75" customHeight="1" x14ac:dyDescent="0.25">
      <c r="A96" s="73"/>
      <c r="B96" s="88"/>
      <c r="C96" s="234" t="s">
        <v>156</v>
      </c>
      <c r="D96" s="208"/>
      <c r="E96" s="37"/>
      <c r="F96" s="92" t="s">
        <v>94</v>
      </c>
      <c r="G96" s="94" t="s">
        <v>94</v>
      </c>
      <c r="H96" s="94" t="s">
        <v>94</v>
      </c>
      <c r="I96" s="94" t="s">
        <v>94</v>
      </c>
      <c r="J96" s="94" t="s">
        <v>94</v>
      </c>
      <c r="K96" s="95" t="s">
        <v>94</v>
      </c>
      <c r="L96" s="92" t="s">
        <v>94</v>
      </c>
      <c r="M96" s="94" t="s">
        <v>94</v>
      </c>
      <c r="N96" s="94" t="s">
        <v>94</v>
      </c>
      <c r="O96" s="94" t="s">
        <v>94</v>
      </c>
      <c r="P96" s="94" t="s">
        <v>94</v>
      </c>
      <c r="Q96" s="94" t="s">
        <v>94</v>
      </c>
      <c r="R96" s="93">
        <f t="shared" si="17"/>
        <v>0</v>
      </c>
      <c r="S96" s="78"/>
      <c r="T96" s="78"/>
    </row>
    <row r="97" spans="1:20" ht="15.75" customHeight="1" x14ac:dyDescent="0.25">
      <c r="A97" s="73"/>
      <c r="B97" s="88"/>
      <c r="C97" s="234" t="s">
        <v>157</v>
      </c>
      <c r="D97" s="208"/>
      <c r="E97" s="37"/>
      <c r="F97" s="92" t="s">
        <v>94</v>
      </c>
      <c r="G97" s="94" t="s">
        <v>94</v>
      </c>
      <c r="H97" s="94" t="s">
        <v>94</v>
      </c>
      <c r="I97" s="94" t="s">
        <v>94</v>
      </c>
      <c r="J97" s="94" t="s">
        <v>94</v>
      </c>
      <c r="K97" s="95" t="s">
        <v>94</v>
      </c>
      <c r="L97" s="92" t="s">
        <v>94</v>
      </c>
      <c r="M97" s="94" t="s">
        <v>94</v>
      </c>
      <c r="N97" s="94" t="s">
        <v>94</v>
      </c>
      <c r="O97" s="94" t="s">
        <v>94</v>
      </c>
      <c r="P97" s="94" t="s">
        <v>94</v>
      </c>
      <c r="Q97" s="94" t="s">
        <v>94</v>
      </c>
      <c r="R97" s="93">
        <f t="shared" si="17"/>
        <v>0</v>
      </c>
      <c r="S97" s="78"/>
      <c r="T97" s="78"/>
    </row>
    <row r="98" spans="1:20" ht="15.75" customHeight="1" x14ac:dyDescent="0.25">
      <c r="A98" s="73"/>
      <c r="B98" s="88"/>
      <c r="C98" s="36"/>
      <c r="D98" s="40"/>
      <c r="E98" s="37"/>
      <c r="F98" s="90"/>
      <c r="G98" s="90"/>
      <c r="H98" s="90"/>
      <c r="I98" s="90"/>
      <c r="J98" s="90"/>
      <c r="K98" s="90"/>
      <c r="L98" s="90"/>
      <c r="M98" s="90"/>
      <c r="N98" s="90"/>
      <c r="O98" s="90"/>
      <c r="P98" s="90"/>
      <c r="Q98" s="90"/>
      <c r="R98" s="91"/>
      <c r="S98" s="78"/>
      <c r="T98" s="78"/>
    </row>
    <row r="99" spans="1:20" ht="15.75" customHeight="1" x14ac:dyDescent="0.25">
      <c r="A99" s="73"/>
      <c r="B99" s="88"/>
      <c r="C99" s="236" t="s">
        <v>158</v>
      </c>
      <c r="D99" s="208"/>
      <c r="E99" s="37"/>
      <c r="F99" s="97">
        <f t="shared" ref="F99:Q99" si="18">SUM(F95:F97)</f>
        <v>0</v>
      </c>
      <c r="G99" s="97">
        <f t="shared" si="18"/>
        <v>0</v>
      </c>
      <c r="H99" s="97">
        <f t="shared" si="18"/>
        <v>0</v>
      </c>
      <c r="I99" s="97">
        <f t="shared" si="18"/>
        <v>0</v>
      </c>
      <c r="J99" s="97">
        <f t="shared" si="18"/>
        <v>0</v>
      </c>
      <c r="K99" s="97">
        <f t="shared" si="18"/>
        <v>0</v>
      </c>
      <c r="L99" s="97">
        <f t="shared" si="18"/>
        <v>0</v>
      </c>
      <c r="M99" s="97">
        <f t="shared" si="18"/>
        <v>0</v>
      </c>
      <c r="N99" s="97">
        <f t="shared" si="18"/>
        <v>0</v>
      </c>
      <c r="O99" s="97">
        <f t="shared" si="18"/>
        <v>0</v>
      </c>
      <c r="P99" s="97">
        <f t="shared" si="18"/>
        <v>0</v>
      </c>
      <c r="Q99" s="97">
        <f t="shared" si="18"/>
        <v>0</v>
      </c>
      <c r="R99" s="93">
        <f>SUM(F99:Q99)</f>
        <v>0</v>
      </c>
      <c r="S99" s="78"/>
      <c r="T99" s="78"/>
    </row>
    <row r="100" spans="1:20" ht="15.75" customHeight="1" x14ac:dyDescent="0.25">
      <c r="A100" s="73"/>
      <c r="B100" s="88"/>
      <c r="C100" s="235"/>
      <c r="D100" s="226"/>
      <c r="E100" s="37"/>
      <c r="F100" s="90"/>
      <c r="G100" s="90"/>
      <c r="H100" s="90"/>
      <c r="I100" s="90"/>
      <c r="J100" s="90"/>
      <c r="K100" s="90"/>
      <c r="L100" s="90"/>
      <c r="M100" s="90"/>
      <c r="N100" s="90"/>
      <c r="O100" s="90"/>
      <c r="P100" s="90"/>
      <c r="Q100" s="90"/>
      <c r="R100" s="91"/>
      <c r="S100" s="78"/>
      <c r="T100" s="78"/>
    </row>
    <row r="101" spans="1:20" ht="15.75" customHeight="1" x14ac:dyDescent="0.25">
      <c r="A101" s="73"/>
      <c r="B101" s="88"/>
      <c r="C101" s="236" t="s">
        <v>159</v>
      </c>
      <c r="D101" s="208"/>
      <c r="E101" s="37"/>
      <c r="F101" s="97">
        <f t="shared" ref="F101:Q101" si="19">SUM(F99,F92,F72,F54,F48,F42,F30)</f>
        <v>4620</v>
      </c>
      <c r="G101" s="97">
        <f t="shared" si="19"/>
        <v>2120</v>
      </c>
      <c r="H101" s="97">
        <f t="shared" si="19"/>
        <v>2120</v>
      </c>
      <c r="I101" s="97">
        <f t="shared" si="19"/>
        <v>3120</v>
      </c>
      <c r="J101" s="97">
        <f t="shared" si="19"/>
        <v>2120</v>
      </c>
      <c r="K101" s="97">
        <f t="shared" si="19"/>
        <v>10997.3</v>
      </c>
      <c r="L101" s="97">
        <f t="shared" si="19"/>
        <v>9997.2999999999993</v>
      </c>
      <c r="M101" s="97">
        <f t="shared" si="19"/>
        <v>9997.2999999999993</v>
      </c>
      <c r="N101" s="97">
        <f t="shared" si="19"/>
        <v>16120</v>
      </c>
      <c r="O101" s="97">
        <f t="shared" si="19"/>
        <v>16120</v>
      </c>
      <c r="P101" s="97">
        <f t="shared" si="19"/>
        <v>16120</v>
      </c>
      <c r="Q101" s="97">
        <f t="shared" si="19"/>
        <v>206548.1</v>
      </c>
      <c r="R101" s="93">
        <f>SUM(F101:Q101)</f>
        <v>300000</v>
      </c>
      <c r="S101" s="78"/>
      <c r="T101" s="78"/>
    </row>
    <row r="102" spans="1:20" ht="15.75" customHeight="1" x14ac:dyDescent="0.25">
      <c r="A102" s="73"/>
      <c r="B102" s="88"/>
      <c r="C102" s="235"/>
      <c r="D102" s="226"/>
      <c r="E102" s="37"/>
      <c r="F102" s="103"/>
      <c r="G102" s="103"/>
      <c r="H102" s="103"/>
      <c r="I102" s="103"/>
      <c r="J102" s="103"/>
      <c r="K102" s="103"/>
      <c r="L102" s="103"/>
      <c r="M102" s="103"/>
      <c r="N102" s="103"/>
      <c r="O102" s="103"/>
      <c r="P102" s="103"/>
      <c r="Q102" s="103"/>
      <c r="R102" s="103"/>
      <c r="S102" s="78"/>
      <c r="T102" s="78"/>
    </row>
    <row r="103" spans="1:20" ht="15.75" customHeight="1" x14ac:dyDescent="0.25">
      <c r="A103" s="73"/>
      <c r="B103" s="88"/>
      <c r="C103" s="239" t="s">
        <v>160</v>
      </c>
      <c r="D103" s="240"/>
      <c r="E103" s="100"/>
      <c r="F103" s="97">
        <f t="shared" ref="F103:Q103" si="20">F23-F101</f>
        <v>34000</v>
      </c>
      <c r="G103" s="97">
        <f t="shared" si="20"/>
        <v>10000</v>
      </c>
      <c r="H103" s="97">
        <f t="shared" si="20"/>
        <v>10000</v>
      </c>
      <c r="I103" s="97">
        <f t="shared" si="20"/>
        <v>10000</v>
      </c>
      <c r="J103" s="97">
        <f t="shared" si="20"/>
        <v>10000</v>
      </c>
      <c r="K103" s="97">
        <f t="shared" si="20"/>
        <v>10000</v>
      </c>
      <c r="L103" s="97">
        <f t="shared" si="20"/>
        <v>10000</v>
      </c>
      <c r="M103" s="97">
        <f t="shared" si="20"/>
        <v>10000</v>
      </c>
      <c r="N103" s="97">
        <f t="shared" si="20"/>
        <v>10000</v>
      </c>
      <c r="O103" s="97">
        <f t="shared" si="20"/>
        <v>50000</v>
      </c>
      <c r="P103" s="97">
        <f t="shared" si="20"/>
        <v>20000</v>
      </c>
      <c r="Q103" s="97">
        <f t="shared" si="20"/>
        <v>20000</v>
      </c>
      <c r="R103" s="93">
        <f>SUM(F103:Q103)</f>
        <v>204000</v>
      </c>
      <c r="S103" s="78"/>
      <c r="T103" s="78"/>
    </row>
    <row r="104" spans="1:20" ht="15.75" customHeight="1" x14ac:dyDescent="0.25">
      <c r="A104" s="73"/>
      <c r="B104" s="111"/>
      <c r="C104" s="91"/>
      <c r="D104" s="91"/>
      <c r="E104" s="68"/>
      <c r="F104" s="112">
        <f>F103</f>
        <v>34000</v>
      </c>
      <c r="G104" s="112">
        <f t="shared" ref="G104:R104" si="21">F104+G103</f>
        <v>44000</v>
      </c>
      <c r="H104" s="112">
        <f t="shared" si="21"/>
        <v>54000</v>
      </c>
      <c r="I104" s="112">
        <f t="shared" si="21"/>
        <v>64000</v>
      </c>
      <c r="J104" s="112">
        <f t="shared" si="21"/>
        <v>74000</v>
      </c>
      <c r="K104" s="112">
        <f t="shared" si="21"/>
        <v>84000</v>
      </c>
      <c r="L104" s="112">
        <f t="shared" si="21"/>
        <v>94000</v>
      </c>
      <c r="M104" s="112">
        <f t="shared" si="21"/>
        <v>104000</v>
      </c>
      <c r="N104" s="112">
        <f t="shared" si="21"/>
        <v>114000</v>
      </c>
      <c r="O104" s="112">
        <f t="shared" si="21"/>
        <v>164000</v>
      </c>
      <c r="P104" s="112">
        <f t="shared" si="21"/>
        <v>184000</v>
      </c>
      <c r="Q104" s="112">
        <f t="shared" si="21"/>
        <v>204000</v>
      </c>
      <c r="R104" s="112">
        <f t="shared" si="21"/>
        <v>408000</v>
      </c>
      <c r="S104" s="113"/>
      <c r="T104" s="78"/>
    </row>
    <row r="105" spans="1:20" ht="15.75" customHeight="1" x14ac:dyDescent="0.25">
      <c r="A105" s="73"/>
      <c r="B105" s="74"/>
      <c r="C105" s="77"/>
      <c r="D105" s="77"/>
      <c r="E105" s="43"/>
      <c r="F105" s="77"/>
      <c r="G105" s="77"/>
      <c r="H105" s="77"/>
      <c r="I105" s="77"/>
      <c r="J105" s="77"/>
      <c r="K105" s="77"/>
      <c r="L105" s="77"/>
      <c r="M105" s="77"/>
      <c r="N105" s="77"/>
      <c r="O105" s="77"/>
      <c r="P105" s="77"/>
      <c r="Q105" s="77"/>
      <c r="R105" s="77"/>
      <c r="S105" s="77"/>
      <c r="T105" s="78"/>
    </row>
    <row r="106" spans="1:20" ht="15.75" customHeight="1" x14ac:dyDescent="0.25">
      <c r="A106" s="73"/>
      <c r="B106" s="74"/>
      <c r="C106" s="114" t="s">
        <v>161</v>
      </c>
      <c r="D106" s="37"/>
      <c r="E106" s="115"/>
      <c r="F106" s="37"/>
      <c r="G106" s="37"/>
      <c r="H106" s="37"/>
      <c r="I106" s="37"/>
      <c r="J106" s="37"/>
      <c r="K106" s="37"/>
      <c r="L106" s="37"/>
      <c r="M106" s="37"/>
      <c r="N106" s="77"/>
      <c r="O106" s="77"/>
      <c r="P106" s="77"/>
      <c r="Q106" s="77"/>
      <c r="R106" s="77"/>
      <c r="S106" s="77"/>
      <c r="T106" s="78"/>
    </row>
    <row r="107" spans="1:20" ht="15.75" customHeight="1" x14ac:dyDescent="0.25">
      <c r="A107" s="73"/>
      <c r="B107" s="74"/>
      <c r="C107" s="238" t="s">
        <v>162</v>
      </c>
      <c r="D107" s="213"/>
      <c r="E107" s="213"/>
      <c r="F107" s="213"/>
      <c r="G107" s="213"/>
      <c r="H107" s="213"/>
      <c r="I107" s="213"/>
      <c r="J107" s="213"/>
      <c r="K107" s="213"/>
      <c r="L107" s="213"/>
      <c r="M107" s="213"/>
      <c r="N107" s="213"/>
      <c r="O107" s="37"/>
      <c r="P107" s="37"/>
      <c r="Q107" s="37"/>
      <c r="R107" s="37"/>
      <c r="S107" s="116"/>
      <c r="T107" s="78"/>
    </row>
    <row r="108" spans="1:20" ht="15.75" customHeight="1" x14ac:dyDescent="0.25">
      <c r="A108" s="73"/>
      <c r="B108" s="74"/>
      <c r="C108" s="238" t="s">
        <v>163</v>
      </c>
      <c r="D108" s="213"/>
      <c r="E108" s="213"/>
      <c r="F108" s="213"/>
      <c r="G108" s="213"/>
      <c r="H108" s="213"/>
      <c r="I108" s="213"/>
      <c r="J108" s="213"/>
      <c r="K108" s="213"/>
      <c r="L108" s="213"/>
      <c r="M108" s="213"/>
      <c r="N108" s="213"/>
      <c r="O108" s="37"/>
      <c r="P108" s="37"/>
      <c r="Q108" s="37"/>
      <c r="R108" s="37"/>
      <c r="S108" s="77"/>
      <c r="T108" s="78"/>
    </row>
    <row r="109" spans="1:20" ht="15.75" customHeight="1" x14ac:dyDescent="0.25">
      <c r="A109" s="111"/>
      <c r="B109" s="117"/>
      <c r="C109" s="68"/>
      <c r="D109" s="68"/>
      <c r="E109" s="118"/>
      <c r="F109" s="68"/>
      <c r="G109" s="68"/>
      <c r="H109" s="68"/>
      <c r="I109" s="68"/>
      <c r="J109" s="68"/>
      <c r="K109" s="68"/>
      <c r="L109" s="68"/>
      <c r="M109" s="119"/>
      <c r="N109" s="91"/>
      <c r="O109" s="91"/>
      <c r="P109" s="91"/>
      <c r="Q109" s="91"/>
      <c r="R109" s="91"/>
      <c r="S109" s="68"/>
      <c r="T109" s="69"/>
    </row>
    <row r="110" spans="1:20" ht="15.75" customHeight="1" x14ac:dyDescent="0.2"/>
    <row r="111" spans="1:20" ht="15.75" customHeight="1" x14ac:dyDescent="0.2"/>
    <row r="112" spans="1:20"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92">
    <mergeCell ref="C76:D76"/>
    <mergeCell ref="C99:D99"/>
    <mergeCell ref="C100:D100"/>
    <mergeCell ref="C101:D101"/>
    <mergeCell ref="C102:D102"/>
    <mergeCell ref="C69:D69"/>
    <mergeCell ref="C70:D70"/>
    <mergeCell ref="C72:D72"/>
    <mergeCell ref="C74:D74"/>
    <mergeCell ref="C75:D75"/>
    <mergeCell ref="C64:D64"/>
    <mergeCell ref="C65:D65"/>
    <mergeCell ref="C66:D66"/>
    <mergeCell ref="C67:D67"/>
    <mergeCell ref="C68:D68"/>
    <mergeCell ref="C59:D59"/>
    <mergeCell ref="C60:D60"/>
    <mergeCell ref="C61:D61"/>
    <mergeCell ref="C62:D62"/>
    <mergeCell ref="C63:D63"/>
    <mergeCell ref="C52:D52"/>
    <mergeCell ref="C54:D54"/>
    <mergeCell ref="C56:D56"/>
    <mergeCell ref="C57:D57"/>
    <mergeCell ref="C58:D58"/>
    <mergeCell ref="C45:D45"/>
    <mergeCell ref="C46:D46"/>
    <mergeCell ref="C48:D48"/>
    <mergeCell ref="C50:D50"/>
    <mergeCell ref="C51:D51"/>
    <mergeCell ref="C38:D38"/>
    <mergeCell ref="C39:D39"/>
    <mergeCell ref="C40:D40"/>
    <mergeCell ref="C42:D42"/>
    <mergeCell ref="C44:D44"/>
    <mergeCell ref="C107:N107"/>
    <mergeCell ref="C108:N108"/>
    <mergeCell ref="C89:D89"/>
    <mergeCell ref="C90:D90"/>
    <mergeCell ref="C92:D92"/>
    <mergeCell ref="C94:D94"/>
    <mergeCell ref="C95:D95"/>
    <mergeCell ref="C96:D96"/>
    <mergeCell ref="C97:D97"/>
    <mergeCell ref="C103:D103"/>
    <mergeCell ref="C84:D84"/>
    <mergeCell ref="C85:D85"/>
    <mergeCell ref="C86:D86"/>
    <mergeCell ref="C87:D87"/>
    <mergeCell ref="C88:D88"/>
    <mergeCell ref="C20:D20"/>
    <mergeCell ref="C21:D21"/>
    <mergeCell ref="C22:D22"/>
    <mergeCell ref="C77:D77"/>
    <mergeCell ref="C83:D83"/>
    <mergeCell ref="C23:D23"/>
    <mergeCell ref="C25:D26"/>
    <mergeCell ref="C27:D27"/>
    <mergeCell ref="C28:D28"/>
    <mergeCell ref="C30:D30"/>
    <mergeCell ref="C32:D32"/>
    <mergeCell ref="C33:D33"/>
    <mergeCell ref="C34:D34"/>
    <mergeCell ref="C35:D35"/>
    <mergeCell ref="C36:D36"/>
    <mergeCell ref="C37:D37"/>
    <mergeCell ref="C15:D15"/>
    <mergeCell ref="C16:D16"/>
    <mergeCell ref="C17:D17"/>
    <mergeCell ref="C18:D18"/>
    <mergeCell ref="C19:D19"/>
    <mergeCell ref="C10:D10"/>
    <mergeCell ref="C11:D11"/>
    <mergeCell ref="C12:D12"/>
    <mergeCell ref="C13:D13"/>
    <mergeCell ref="C14:D14"/>
    <mergeCell ref="O8:O9"/>
    <mergeCell ref="P8:P9"/>
    <mergeCell ref="Q8:Q9"/>
    <mergeCell ref="C1:R1"/>
    <mergeCell ref="C7:D7"/>
    <mergeCell ref="F8:F9"/>
    <mergeCell ref="G8:G9"/>
    <mergeCell ref="H8:H9"/>
    <mergeCell ref="I8:I9"/>
    <mergeCell ref="R8:R9"/>
    <mergeCell ref="C8:D9"/>
    <mergeCell ref="J8:J9"/>
    <mergeCell ref="K8:K9"/>
    <mergeCell ref="L8:L9"/>
    <mergeCell ref="M8:M9"/>
    <mergeCell ref="N8:N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E1000"/>
  <sheetViews>
    <sheetView workbookViewId="0"/>
  </sheetViews>
  <sheetFormatPr defaultColWidth="12.5703125" defaultRowHeight="15" customHeight="1" x14ac:dyDescent="0.2"/>
  <cols>
    <col min="2" max="2" width="3" customWidth="1"/>
    <col min="3" max="3" width="27" customWidth="1"/>
    <col min="4" max="4" width="2.7109375" customWidth="1"/>
    <col min="5" max="5" width="8.5703125" customWidth="1"/>
    <col min="8" max="8" width="2.42578125" customWidth="1"/>
    <col min="9" max="9" width="8.5703125" customWidth="1"/>
    <col min="12" max="12" width="2.42578125" customWidth="1"/>
    <col min="13" max="13" width="8.5703125" customWidth="1"/>
    <col min="16" max="16" width="2.7109375" customWidth="1"/>
    <col min="17" max="17" width="8.5703125" customWidth="1"/>
    <col min="20" max="20" width="2.7109375" customWidth="1"/>
    <col min="21" max="21" width="8.5703125" customWidth="1"/>
    <col min="24" max="24" width="2.85546875" customWidth="1"/>
    <col min="25" max="25" width="8.5703125" customWidth="1"/>
    <col min="28" max="28" width="2.28515625" customWidth="1"/>
    <col min="29" max="29" width="3.140625" customWidth="1"/>
  </cols>
  <sheetData>
    <row r="1" spans="1:31" ht="15.75" customHeight="1" x14ac:dyDescent="0.3">
      <c r="A1" s="120"/>
      <c r="B1" s="229" t="s">
        <v>164</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121"/>
      <c r="AD1" s="122"/>
      <c r="AE1" s="122"/>
    </row>
    <row r="2" spans="1:31" ht="15.75" customHeight="1" x14ac:dyDescent="0.25">
      <c r="A2" s="123"/>
      <c r="B2" s="45"/>
      <c r="C2" s="79" t="s">
        <v>47</v>
      </c>
      <c r="D2" s="79"/>
      <c r="E2" s="241" t="s">
        <v>48</v>
      </c>
      <c r="F2" s="213"/>
      <c r="G2" s="3"/>
      <c r="H2" s="3"/>
      <c r="I2" s="3"/>
      <c r="J2" s="3"/>
      <c r="K2" s="3"/>
      <c r="L2" s="3"/>
      <c r="M2" s="3"/>
      <c r="N2" s="3"/>
      <c r="O2" s="3"/>
      <c r="P2" s="3"/>
      <c r="Q2" s="3"/>
      <c r="R2" s="3"/>
      <c r="S2" s="3"/>
      <c r="T2" s="3"/>
      <c r="U2" s="3"/>
      <c r="V2" s="3"/>
      <c r="W2" s="3"/>
      <c r="X2" s="3"/>
      <c r="Y2" s="45"/>
      <c r="Z2" s="45"/>
      <c r="AA2" s="45"/>
      <c r="AB2" s="45"/>
      <c r="AC2" s="124"/>
      <c r="AD2" s="122"/>
      <c r="AE2" s="122"/>
    </row>
    <row r="3" spans="1:31" ht="15.75" customHeight="1" x14ac:dyDescent="0.25">
      <c r="A3" s="123"/>
      <c r="B3" s="45"/>
      <c r="C3" s="79" t="s">
        <v>49</v>
      </c>
      <c r="D3" s="79"/>
      <c r="E3" s="54">
        <v>2023</v>
      </c>
      <c r="F3" s="3"/>
      <c r="G3" s="3"/>
      <c r="H3" s="3"/>
      <c r="I3" s="3"/>
      <c r="J3" s="3"/>
      <c r="K3" s="3"/>
      <c r="L3" s="3"/>
      <c r="M3" s="3"/>
      <c r="N3" s="3"/>
      <c r="O3" s="3"/>
      <c r="P3" s="3"/>
      <c r="Q3" s="3"/>
      <c r="R3" s="3"/>
      <c r="S3" s="3"/>
      <c r="T3" s="3"/>
      <c r="U3" s="3"/>
      <c r="V3" s="3"/>
      <c r="W3" s="3"/>
      <c r="X3" s="3"/>
      <c r="Y3" s="45"/>
      <c r="Z3" s="45"/>
      <c r="AA3" s="45"/>
      <c r="AB3" s="45"/>
      <c r="AC3" s="124"/>
      <c r="AD3" s="122"/>
      <c r="AE3" s="122"/>
    </row>
    <row r="4" spans="1:31" ht="15.75" customHeight="1" x14ac:dyDescent="0.25">
      <c r="A4" s="123"/>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124"/>
      <c r="AD4" s="122"/>
      <c r="AE4" s="122"/>
    </row>
    <row r="5" spans="1:31" ht="15.75" customHeight="1" x14ac:dyDescent="0.25">
      <c r="A5" s="123"/>
      <c r="B5" s="120"/>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1"/>
      <c r="AC5" s="124"/>
      <c r="AD5" s="122"/>
      <c r="AE5" s="122"/>
    </row>
    <row r="6" spans="1:31" ht="15.75" customHeight="1" x14ac:dyDescent="0.25">
      <c r="A6" s="123"/>
      <c r="B6" s="123"/>
      <c r="C6" s="3"/>
      <c r="D6" s="3"/>
      <c r="E6" s="242" t="s">
        <v>165</v>
      </c>
      <c r="F6" s="207"/>
      <c r="G6" s="208"/>
      <c r="H6" s="7"/>
      <c r="I6" s="242" t="s">
        <v>6</v>
      </c>
      <c r="J6" s="207"/>
      <c r="K6" s="208"/>
      <c r="L6" s="7"/>
      <c r="M6" s="242" t="s">
        <v>7</v>
      </c>
      <c r="N6" s="207"/>
      <c r="O6" s="208"/>
      <c r="P6" s="7"/>
      <c r="Q6" s="242" t="s">
        <v>8</v>
      </c>
      <c r="R6" s="207"/>
      <c r="S6" s="208"/>
      <c r="T6" s="7"/>
      <c r="U6" s="242" t="s">
        <v>9</v>
      </c>
      <c r="V6" s="207"/>
      <c r="W6" s="208"/>
      <c r="X6" s="7"/>
      <c r="Y6" s="243" t="s">
        <v>10</v>
      </c>
      <c r="Z6" s="210"/>
      <c r="AA6" s="211"/>
      <c r="AB6" s="124"/>
      <c r="AC6" s="124"/>
      <c r="AD6" s="122"/>
      <c r="AE6" s="122"/>
    </row>
    <row r="7" spans="1:31" ht="15.75" customHeight="1" x14ac:dyDescent="0.25">
      <c r="A7" s="123"/>
      <c r="B7" s="123"/>
      <c r="C7" s="3"/>
      <c r="D7" s="3"/>
      <c r="E7" s="126" t="s">
        <v>166</v>
      </c>
      <c r="F7" s="127" t="s">
        <v>167</v>
      </c>
      <c r="G7" s="126" t="s">
        <v>168</v>
      </c>
      <c r="H7" s="3"/>
      <c r="I7" s="126" t="s">
        <v>166</v>
      </c>
      <c r="J7" s="128" t="s">
        <v>167</v>
      </c>
      <c r="K7" s="128" t="s">
        <v>168</v>
      </c>
      <c r="L7" s="3"/>
      <c r="M7" s="126" t="s">
        <v>166</v>
      </c>
      <c r="N7" s="128" t="s">
        <v>167</v>
      </c>
      <c r="O7" s="128" t="s">
        <v>168</v>
      </c>
      <c r="P7" s="3"/>
      <c r="Q7" s="126" t="s">
        <v>166</v>
      </c>
      <c r="R7" s="128" t="s">
        <v>167</v>
      </c>
      <c r="S7" s="128" t="s">
        <v>168</v>
      </c>
      <c r="T7" s="3"/>
      <c r="U7" s="126" t="s">
        <v>166</v>
      </c>
      <c r="V7" s="128" t="s">
        <v>167</v>
      </c>
      <c r="W7" s="128" t="s">
        <v>168</v>
      </c>
      <c r="X7" s="3"/>
      <c r="Y7" s="129" t="s">
        <v>166</v>
      </c>
      <c r="Z7" s="130" t="s">
        <v>167</v>
      </c>
      <c r="AA7" s="130" t="s">
        <v>168</v>
      </c>
      <c r="AB7" s="124"/>
      <c r="AC7" s="124"/>
      <c r="AD7" s="122"/>
      <c r="AE7" s="122"/>
    </row>
    <row r="8" spans="1:31" ht="15.75" customHeight="1" x14ac:dyDescent="0.25">
      <c r="A8" s="123"/>
      <c r="B8" s="123"/>
      <c r="C8" s="131" t="s">
        <v>169</v>
      </c>
      <c r="D8" s="132"/>
      <c r="E8" s="21"/>
      <c r="F8" s="5"/>
      <c r="G8" s="6"/>
      <c r="H8" s="3"/>
      <c r="I8" s="21"/>
      <c r="J8" s="5"/>
      <c r="K8" s="6"/>
      <c r="L8" s="3"/>
      <c r="M8" s="21"/>
      <c r="N8" s="5"/>
      <c r="O8" s="6"/>
      <c r="P8" s="3"/>
      <c r="Q8" s="21"/>
      <c r="R8" s="5"/>
      <c r="S8" s="6"/>
      <c r="T8" s="3"/>
      <c r="U8" s="21"/>
      <c r="V8" s="5"/>
      <c r="W8" s="6"/>
      <c r="X8" s="3"/>
      <c r="Y8" s="21"/>
      <c r="Z8" s="5"/>
      <c r="AA8" s="6"/>
      <c r="AB8" s="124"/>
      <c r="AC8" s="124"/>
      <c r="AD8" s="122"/>
      <c r="AE8" s="122"/>
    </row>
    <row r="9" spans="1:31" ht="15.75" customHeight="1" x14ac:dyDescent="0.25">
      <c r="A9" s="123"/>
      <c r="B9" s="123"/>
      <c r="C9" s="133" t="s">
        <v>170</v>
      </c>
      <c r="D9" s="45"/>
      <c r="E9" s="134"/>
      <c r="F9" s="135">
        <v>0</v>
      </c>
      <c r="G9" s="136">
        <f t="shared" ref="G9:G23" si="0">F9*E9</f>
        <v>0</v>
      </c>
      <c r="H9" s="7"/>
      <c r="I9" s="134">
        <v>16</v>
      </c>
      <c r="J9" s="135">
        <v>45000</v>
      </c>
      <c r="K9" s="136">
        <f t="shared" ref="K9:K23" si="1">I9*J9</f>
        <v>720000</v>
      </c>
      <c r="L9" s="7"/>
      <c r="M9" s="134">
        <v>16</v>
      </c>
      <c r="N9" s="135">
        <f t="shared" ref="N9:N23" si="2">J9*1.03</f>
        <v>46350</v>
      </c>
      <c r="O9" s="136">
        <f t="shared" ref="O9:O23" si="3">N9*M9</f>
        <v>741600</v>
      </c>
      <c r="P9" s="7"/>
      <c r="Q9" s="134">
        <v>16</v>
      </c>
      <c r="R9" s="135">
        <f t="shared" ref="R9:R23" si="4">N9*1.03</f>
        <v>47740.5</v>
      </c>
      <c r="S9" s="136">
        <f t="shared" ref="S9:S23" si="5">R9*Q9</f>
        <v>763848</v>
      </c>
      <c r="T9" s="7"/>
      <c r="U9" s="134">
        <v>16</v>
      </c>
      <c r="V9" s="135">
        <f t="shared" ref="V9:V23" si="6">R9*1.03</f>
        <v>49172.715000000004</v>
      </c>
      <c r="W9" s="136">
        <f t="shared" ref="W9:W23" si="7">V9*U9</f>
        <v>786763.44000000006</v>
      </c>
      <c r="X9" s="7"/>
      <c r="Y9" s="134">
        <v>16</v>
      </c>
      <c r="Z9" s="135">
        <f t="shared" ref="Z9:Z23" si="8">V9*1.03</f>
        <v>50647.896450000007</v>
      </c>
      <c r="AA9" s="136">
        <f t="shared" ref="AA9:AA23" si="9">Z9*Y9</f>
        <v>810366.34320000012</v>
      </c>
      <c r="AB9" s="137"/>
      <c r="AC9" s="137"/>
      <c r="AD9" s="138"/>
      <c r="AE9" s="138"/>
    </row>
    <row r="10" spans="1:31" ht="15.75" customHeight="1" x14ac:dyDescent="0.25">
      <c r="A10" s="123"/>
      <c r="B10" s="123"/>
      <c r="C10" s="133" t="s">
        <v>171</v>
      </c>
      <c r="D10" s="45"/>
      <c r="E10" s="134"/>
      <c r="F10" s="135">
        <v>0</v>
      </c>
      <c r="G10" s="136">
        <f t="shared" si="0"/>
        <v>0</v>
      </c>
      <c r="H10" s="7"/>
      <c r="I10" s="134">
        <v>1</v>
      </c>
      <c r="J10" s="135">
        <v>45000</v>
      </c>
      <c r="K10" s="136">
        <f t="shared" si="1"/>
        <v>45000</v>
      </c>
      <c r="L10" s="7"/>
      <c r="M10" s="134">
        <v>2</v>
      </c>
      <c r="N10" s="135">
        <f t="shared" si="2"/>
        <v>46350</v>
      </c>
      <c r="O10" s="136">
        <f t="shared" si="3"/>
        <v>92700</v>
      </c>
      <c r="P10" s="7"/>
      <c r="Q10" s="134">
        <v>2</v>
      </c>
      <c r="R10" s="135">
        <f t="shared" si="4"/>
        <v>47740.5</v>
      </c>
      <c r="S10" s="136">
        <f t="shared" si="5"/>
        <v>95481</v>
      </c>
      <c r="T10" s="7"/>
      <c r="U10" s="134">
        <v>2</v>
      </c>
      <c r="V10" s="135">
        <f t="shared" si="6"/>
        <v>49172.715000000004</v>
      </c>
      <c r="W10" s="136">
        <f t="shared" si="7"/>
        <v>98345.430000000008</v>
      </c>
      <c r="X10" s="7"/>
      <c r="Y10" s="134">
        <v>3</v>
      </c>
      <c r="Z10" s="135">
        <f t="shared" si="8"/>
        <v>50647.896450000007</v>
      </c>
      <c r="AA10" s="136">
        <f t="shared" si="9"/>
        <v>151943.68935000003</v>
      </c>
      <c r="AB10" s="137"/>
      <c r="AC10" s="137"/>
      <c r="AD10" s="138"/>
      <c r="AE10" s="138"/>
    </row>
    <row r="11" spans="1:31" ht="15.75" customHeight="1" x14ac:dyDescent="0.25">
      <c r="A11" s="123"/>
      <c r="B11" s="123"/>
      <c r="C11" s="133" t="s">
        <v>172</v>
      </c>
      <c r="D11" s="45"/>
      <c r="E11" s="134"/>
      <c r="F11" s="135">
        <v>0</v>
      </c>
      <c r="G11" s="136">
        <f t="shared" si="0"/>
        <v>0</v>
      </c>
      <c r="H11" s="7"/>
      <c r="I11" s="134">
        <v>2</v>
      </c>
      <c r="J11" s="135">
        <v>45000</v>
      </c>
      <c r="K11" s="136">
        <f t="shared" si="1"/>
        <v>90000</v>
      </c>
      <c r="L11" s="7"/>
      <c r="M11" s="134">
        <v>2</v>
      </c>
      <c r="N11" s="135">
        <f t="shared" si="2"/>
        <v>46350</v>
      </c>
      <c r="O11" s="136">
        <f t="shared" si="3"/>
        <v>92700</v>
      </c>
      <c r="P11" s="7"/>
      <c r="Q11" s="134">
        <v>2</v>
      </c>
      <c r="R11" s="135">
        <f t="shared" si="4"/>
        <v>47740.5</v>
      </c>
      <c r="S11" s="136">
        <f t="shared" si="5"/>
        <v>95481</v>
      </c>
      <c r="T11" s="7"/>
      <c r="U11" s="134">
        <v>2</v>
      </c>
      <c r="V11" s="135">
        <f t="shared" si="6"/>
        <v>49172.715000000004</v>
      </c>
      <c r="W11" s="136">
        <f t="shared" si="7"/>
        <v>98345.430000000008</v>
      </c>
      <c r="X11" s="7"/>
      <c r="Y11" s="134">
        <v>2</v>
      </c>
      <c r="Z11" s="135">
        <f t="shared" si="8"/>
        <v>50647.896450000007</v>
      </c>
      <c r="AA11" s="136">
        <f t="shared" si="9"/>
        <v>101295.79290000001</v>
      </c>
      <c r="AB11" s="137"/>
      <c r="AC11" s="137"/>
      <c r="AD11" s="138"/>
      <c r="AE11" s="138"/>
    </row>
    <row r="12" spans="1:31" ht="15.75" customHeight="1" x14ac:dyDescent="0.25">
      <c r="A12" s="123"/>
      <c r="B12" s="123"/>
      <c r="C12" s="133" t="s">
        <v>173</v>
      </c>
      <c r="D12" s="45"/>
      <c r="E12" s="134"/>
      <c r="F12" s="135">
        <v>0</v>
      </c>
      <c r="G12" s="136">
        <f t="shared" si="0"/>
        <v>0</v>
      </c>
      <c r="H12" s="7"/>
      <c r="I12" s="134">
        <v>1</v>
      </c>
      <c r="J12" s="135">
        <v>45000</v>
      </c>
      <c r="K12" s="136">
        <f t="shared" si="1"/>
        <v>45000</v>
      </c>
      <c r="L12" s="7"/>
      <c r="M12" s="134">
        <v>2</v>
      </c>
      <c r="N12" s="135">
        <f t="shared" si="2"/>
        <v>46350</v>
      </c>
      <c r="O12" s="136">
        <f t="shared" si="3"/>
        <v>92700</v>
      </c>
      <c r="P12" s="7"/>
      <c r="Q12" s="134">
        <v>2</v>
      </c>
      <c r="R12" s="135">
        <f t="shared" si="4"/>
        <v>47740.5</v>
      </c>
      <c r="S12" s="136">
        <f t="shared" si="5"/>
        <v>95481</v>
      </c>
      <c r="T12" s="7"/>
      <c r="U12" s="134">
        <v>2</v>
      </c>
      <c r="V12" s="135">
        <f t="shared" si="6"/>
        <v>49172.715000000004</v>
      </c>
      <c r="W12" s="136">
        <f t="shared" si="7"/>
        <v>98345.430000000008</v>
      </c>
      <c r="X12" s="7"/>
      <c r="Y12" s="134">
        <v>2</v>
      </c>
      <c r="Z12" s="135">
        <f t="shared" si="8"/>
        <v>50647.896450000007</v>
      </c>
      <c r="AA12" s="136">
        <f t="shared" si="9"/>
        <v>101295.79290000001</v>
      </c>
      <c r="AB12" s="124"/>
      <c r="AC12" s="124"/>
      <c r="AD12" s="122"/>
      <c r="AE12" s="122"/>
    </row>
    <row r="13" spans="1:31" ht="15.75" customHeight="1" x14ac:dyDescent="0.25">
      <c r="A13" s="123"/>
      <c r="B13" s="123"/>
      <c r="C13" s="133" t="s">
        <v>174</v>
      </c>
      <c r="D13" s="45"/>
      <c r="E13" s="134"/>
      <c r="F13" s="135">
        <v>0</v>
      </c>
      <c r="G13" s="136">
        <f t="shared" si="0"/>
        <v>0</v>
      </c>
      <c r="H13" s="7"/>
      <c r="I13" s="134">
        <v>0</v>
      </c>
      <c r="J13" s="135">
        <v>45000</v>
      </c>
      <c r="K13" s="136">
        <f t="shared" si="1"/>
        <v>0</v>
      </c>
      <c r="L13" s="7"/>
      <c r="M13" s="134">
        <v>2</v>
      </c>
      <c r="N13" s="135">
        <f t="shared" si="2"/>
        <v>46350</v>
      </c>
      <c r="O13" s="136">
        <f t="shared" si="3"/>
        <v>92700</v>
      </c>
      <c r="P13" s="7"/>
      <c r="Q13" s="134">
        <v>4</v>
      </c>
      <c r="R13" s="135">
        <f t="shared" si="4"/>
        <v>47740.5</v>
      </c>
      <c r="S13" s="136">
        <f t="shared" si="5"/>
        <v>190962</v>
      </c>
      <c r="T13" s="7"/>
      <c r="U13" s="134">
        <v>4</v>
      </c>
      <c r="V13" s="135">
        <f t="shared" si="6"/>
        <v>49172.715000000004</v>
      </c>
      <c r="W13" s="136">
        <f t="shared" si="7"/>
        <v>196690.86000000002</v>
      </c>
      <c r="X13" s="7"/>
      <c r="Y13" s="134">
        <v>4</v>
      </c>
      <c r="Z13" s="135">
        <f t="shared" si="8"/>
        <v>50647.896450000007</v>
      </c>
      <c r="AA13" s="136">
        <f t="shared" si="9"/>
        <v>202591.58580000003</v>
      </c>
      <c r="AB13" s="124"/>
      <c r="AC13" s="124"/>
      <c r="AD13" s="122"/>
      <c r="AE13" s="122"/>
    </row>
    <row r="14" spans="1:31" ht="15.75" customHeight="1" x14ac:dyDescent="0.25">
      <c r="A14" s="123"/>
      <c r="B14" s="123"/>
      <c r="C14" s="133" t="s">
        <v>175</v>
      </c>
      <c r="D14" s="45"/>
      <c r="E14" s="134"/>
      <c r="F14" s="135">
        <v>0</v>
      </c>
      <c r="G14" s="136">
        <f t="shared" si="0"/>
        <v>0</v>
      </c>
      <c r="H14" s="7"/>
      <c r="I14" s="134">
        <v>2</v>
      </c>
      <c r="J14" s="135">
        <v>45000</v>
      </c>
      <c r="K14" s="136">
        <f t="shared" si="1"/>
        <v>90000</v>
      </c>
      <c r="L14" s="7"/>
      <c r="M14" s="134">
        <v>2</v>
      </c>
      <c r="N14" s="135">
        <f t="shared" si="2"/>
        <v>46350</v>
      </c>
      <c r="O14" s="136">
        <f t="shared" si="3"/>
        <v>92700</v>
      </c>
      <c r="P14" s="7"/>
      <c r="Q14" s="134">
        <v>2</v>
      </c>
      <c r="R14" s="135">
        <f t="shared" si="4"/>
        <v>47740.5</v>
      </c>
      <c r="S14" s="136">
        <f t="shared" si="5"/>
        <v>95481</v>
      </c>
      <c r="T14" s="7"/>
      <c r="U14" s="134">
        <v>3</v>
      </c>
      <c r="V14" s="135">
        <f t="shared" si="6"/>
        <v>49172.715000000004</v>
      </c>
      <c r="W14" s="136">
        <f t="shared" si="7"/>
        <v>147518.14500000002</v>
      </c>
      <c r="X14" s="7"/>
      <c r="Y14" s="134">
        <v>3</v>
      </c>
      <c r="Z14" s="135">
        <f t="shared" si="8"/>
        <v>50647.896450000007</v>
      </c>
      <c r="AA14" s="136">
        <f t="shared" si="9"/>
        <v>151943.68935000003</v>
      </c>
      <c r="AB14" s="124"/>
      <c r="AC14" s="124"/>
      <c r="AD14" s="122"/>
      <c r="AE14" s="122"/>
    </row>
    <row r="15" spans="1:31" ht="15.75" customHeight="1" x14ac:dyDescent="0.25">
      <c r="A15" s="123"/>
      <c r="B15" s="123"/>
      <c r="C15" s="133" t="s">
        <v>176</v>
      </c>
      <c r="D15" s="45"/>
      <c r="E15" s="134"/>
      <c r="F15" s="135">
        <v>0</v>
      </c>
      <c r="G15" s="136">
        <f t="shared" si="0"/>
        <v>0</v>
      </c>
      <c r="H15" s="7"/>
      <c r="I15" s="134">
        <v>0</v>
      </c>
      <c r="J15" s="135">
        <v>33000</v>
      </c>
      <c r="K15" s="136">
        <f t="shared" si="1"/>
        <v>0</v>
      </c>
      <c r="L15" s="7"/>
      <c r="M15" s="134">
        <v>0</v>
      </c>
      <c r="N15" s="135">
        <f t="shared" si="2"/>
        <v>33990</v>
      </c>
      <c r="O15" s="136">
        <f t="shared" si="3"/>
        <v>0</v>
      </c>
      <c r="P15" s="7"/>
      <c r="Q15" s="134">
        <v>0</v>
      </c>
      <c r="R15" s="135">
        <f t="shared" si="4"/>
        <v>35009.700000000004</v>
      </c>
      <c r="S15" s="136">
        <f t="shared" si="5"/>
        <v>0</v>
      </c>
      <c r="T15" s="7"/>
      <c r="U15" s="134">
        <v>0</v>
      </c>
      <c r="V15" s="135">
        <f t="shared" si="6"/>
        <v>36059.991000000002</v>
      </c>
      <c r="W15" s="136">
        <f t="shared" si="7"/>
        <v>0</v>
      </c>
      <c r="X15" s="7"/>
      <c r="Y15" s="134">
        <v>0</v>
      </c>
      <c r="Z15" s="135">
        <f t="shared" si="8"/>
        <v>37141.790730000001</v>
      </c>
      <c r="AA15" s="136">
        <f t="shared" si="9"/>
        <v>0</v>
      </c>
      <c r="AB15" s="124"/>
      <c r="AC15" s="124"/>
      <c r="AD15" s="122"/>
      <c r="AE15" s="122"/>
    </row>
    <row r="16" spans="1:31" ht="15.75" customHeight="1" x14ac:dyDescent="0.25">
      <c r="A16" s="123"/>
      <c r="B16" s="123"/>
      <c r="C16" s="133" t="s">
        <v>177</v>
      </c>
      <c r="D16" s="45"/>
      <c r="E16" s="134"/>
      <c r="F16" s="135">
        <v>0</v>
      </c>
      <c r="G16" s="136">
        <f t="shared" si="0"/>
        <v>0</v>
      </c>
      <c r="H16" s="7"/>
      <c r="I16" s="134">
        <v>1</v>
      </c>
      <c r="J16" s="135">
        <v>45000</v>
      </c>
      <c r="K16" s="136">
        <f t="shared" si="1"/>
        <v>45000</v>
      </c>
      <c r="L16" s="7"/>
      <c r="M16" s="134">
        <v>1</v>
      </c>
      <c r="N16" s="135">
        <f t="shared" si="2"/>
        <v>46350</v>
      </c>
      <c r="O16" s="136">
        <f t="shared" si="3"/>
        <v>46350</v>
      </c>
      <c r="P16" s="7"/>
      <c r="Q16" s="134">
        <v>2</v>
      </c>
      <c r="R16" s="135">
        <f t="shared" si="4"/>
        <v>47740.5</v>
      </c>
      <c r="S16" s="136">
        <f t="shared" si="5"/>
        <v>95481</v>
      </c>
      <c r="T16" s="7"/>
      <c r="U16" s="134">
        <v>2</v>
      </c>
      <c r="V16" s="135">
        <f t="shared" si="6"/>
        <v>49172.715000000004</v>
      </c>
      <c r="W16" s="136">
        <f t="shared" si="7"/>
        <v>98345.430000000008</v>
      </c>
      <c r="X16" s="7"/>
      <c r="Y16" s="134">
        <v>3</v>
      </c>
      <c r="Z16" s="135">
        <f t="shared" si="8"/>
        <v>50647.896450000007</v>
      </c>
      <c r="AA16" s="136">
        <f t="shared" si="9"/>
        <v>151943.68935000003</v>
      </c>
      <c r="AB16" s="124"/>
      <c r="AC16" s="124"/>
      <c r="AD16" s="122"/>
      <c r="AE16" s="122"/>
    </row>
    <row r="17" spans="1:31" ht="15.75" customHeight="1" x14ac:dyDescent="0.25">
      <c r="A17" s="123"/>
      <c r="B17" s="123"/>
      <c r="C17" s="133" t="s">
        <v>178</v>
      </c>
      <c r="D17" s="45"/>
      <c r="E17" s="134"/>
      <c r="F17" s="135">
        <v>0</v>
      </c>
      <c r="G17" s="136">
        <f t="shared" si="0"/>
        <v>0</v>
      </c>
      <c r="H17" s="7"/>
      <c r="I17" s="134">
        <v>0</v>
      </c>
      <c r="J17" s="135">
        <v>45000</v>
      </c>
      <c r="K17" s="136">
        <f t="shared" si="1"/>
        <v>0</v>
      </c>
      <c r="L17" s="7"/>
      <c r="M17" s="134">
        <v>0</v>
      </c>
      <c r="N17" s="135">
        <f t="shared" si="2"/>
        <v>46350</v>
      </c>
      <c r="O17" s="136">
        <f t="shared" si="3"/>
        <v>0</v>
      </c>
      <c r="P17" s="7"/>
      <c r="Q17" s="134">
        <v>0</v>
      </c>
      <c r="R17" s="135">
        <f t="shared" si="4"/>
        <v>47740.5</v>
      </c>
      <c r="S17" s="136">
        <f t="shared" si="5"/>
        <v>0</v>
      </c>
      <c r="T17" s="7"/>
      <c r="U17" s="134">
        <v>1</v>
      </c>
      <c r="V17" s="135">
        <f t="shared" si="6"/>
        <v>49172.715000000004</v>
      </c>
      <c r="W17" s="136">
        <f t="shared" si="7"/>
        <v>49172.715000000004</v>
      </c>
      <c r="X17" s="7"/>
      <c r="Y17" s="134">
        <v>1</v>
      </c>
      <c r="Z17" s="135">
        <f t="shared" si="8"/>
        <v>50647.896450000007</v>
      </c>
      <c r="AA17" s="136">
        <f t="shared" si="9"/>
        <v>50647.896450000007</v>
      </c>
      <c r="AB17" s="124"/>
      <c r="AC17" s="124"/>
      <c r="AD17" s="122"/>
      <c r="AE17" s="122"/>
    </row>
    <row r="18" spans="1:31" ht="15.75" customHeight="1" x14ac:dyDescent="0.25">
      <c r="A18" s="123"/>
      <c r="B18" s="123"/>
      <c r="C18" s="133" t="s">
        <v>179</v>
      </c>
      <c r="D18" s="45"/>
      <c r="E18" s="134"/>
      <c r="F18" s="135">
        <v>0</v>
      </c>
      <c r="G18" s="136">
        <f t="shared" si="0"/>
        <v>0</v>
      </c>
      <c r="H18" s="7"/>
      <c r="I18" s="134">
        <v>0</v>
      </c>
      <c r="J18" s="135">
        <v>45000</v>
      </c>
      <c r="K18" s="136">
        <f t="shared" si="1"/>
        <v>0</v>
      </c>
      <c r="L18" s="7"/>
      <c r="M18" s="134">
        <v>0</v>
      </c>
      <c r="N18" s="135">
        <f t="shared" si="2"/>
        <v>46350</v>
      </c>
      <c r="O18" s="136">
        <f t="shared" si="3"/>
        <v>0</v>
      </c>
      <c r="P18" s="7"/>
      <c r="Q18" s="134">
        <v>0</v>
      </c>
      <c r="R18" s="135">
        <f t="shared" si="4"/>
        <v>47740.5</v>
      </c>
      <c r="S18" s="136">
        <f t="shared" si="5"/>
        <v>0</v>
      </c>
      <c r="T18" s="7"/>
      <c r="U18" s="134">
        <v>0</v>
      </c>
      <c r="V18" s="135">
        <f t="shared" si="6"/>
        <v>49172.715000000004</v>
      </c>
      <c r="W18" s="136">
        <f t="shared" si="7"/>
        <v>0</v>
      </c>
      <c r="X18" s="7"/>
      <c r="Y18" s="134">
        <v>1</v>
      </c>
      <c r="Z18" s="135">
        <f t="shared" si="8"/>
        <v>50647.896450000007</v>
      </c>
      <c r="AA18" s="136">
        <f t="shared" si="9"/>
        <v>50647.896450000007</v>
      </c>
      <c r="AB18" s="124"/>
      <c r="AC18" s="124"/>
      <c r="AD18" s="122"/>
      <c r="AE18" s="122"/>
    </row>
    <row r="19" spans="1:31" ht="15.75" customHeight="1" x14ac:dyDescent="0.25">
      <c r="A19" s="123"/>
      <c r="B19" s="123"/>
      <c r="C19" s="133" t="s">
        <v>180</v>
      </c>
      <c r="D19" s="45"/>
      <c r="E19" s="134"/>
      <c r="F19" s="135">
        <v>0</v>
      </c>
      <c r="G19" s="136">
        <f t="shared" si="0"/>
        <v>0</v>
      </c>
      <c r="H19" s="7"/>
      <c r="I19" s="134">
        <v>0</v>
      </c>
      <c r="J19" s="135">
        <v>45000</v>
      </c>
      <c r="K19" s="136">
        <f t="shared" si="1"/>
        <v>0</v>
      </c>
      <c r="L19" s="7"/>
      <c r="M19" s="134">
        <v>0</v>
      </c>
      <c r="N19" s="135">
        <f t="shared" si="2"/>
        <v>46350</v>
      </c>
      <c r="O19" s="136">
        <f t="shared" si="3"/>
        <v>0</v>
      </c>
      <c r="P19" s="7"/>
      <c r="Q19" s="134">
        <v>0</v>
      </c>
      <c r="R19" s="135">
        <f t="shared" si="4"/>
        <v>47740.5</v>
      </c>
      <c r="S19" s="136">
        <f t="shared" si="5"/>
        <v>0</v>
      </c>
      <c r="T19" s="7"/>
      <c r="U19" s="134">
        <v>1</v>
      </c>
      <c r="V19" s="135">
        <f t="shared" si="6"/>
        <v>49172.715000000004</v>
      </c>
      <c r="W19" s="136">
        <f t="shared" si="7"/>
        <v>49172.715000000004</v>
      </c>
      <c r="X19" s="7"/>
      <c r="Y19" s="134">
        <v>1</v>
      </c>
      <c r="Z19" s="135">
        <f t="shared" si="8"/>
        <v>50647.896450000007</v>
      </c>
      <c r="AA19" s="136">
        <f t="shared" si="9"/>
        <v>50647.896450000007</v>
      </c>
      <c r="AB19" s="124"/>
      <c r="AC19" s="124"/>
      <c r="AD19" s="122"/>
      <c r="AE19" s="122"/>
    </row>
    <row r="20" spans="1:31" ht="15.75" customHeight="1" x14ac:dyDescent="0.25">
      <c r="A20" s="123"/>
      <c r="B20" s="123"/>
      <c r="C20" s="133" t="s">
        <v>181</v>
      </c>
      <c r="D20" s="45"/>
      <c r="E20" s="134"/>
      <c r="F20" s="135">
        <v>0</v>
      </c>
      <c r="G20" s="136">
        <f t="shared" si="0"/>
        <v>0</v>
      </c>
      <c r="H20" s="7"/>
      <c r="I20" s="134">
        <v>0</v>
      </c>
      <c r="J20" s="135">
        <v>45000</v>
      </c>
      <c r="K20" s="136">
        <f t="shared" si="1"/>
        <v>0</v>
      </c>
      <c r="L20" s="7"/>
      <c r="M20" s="134">
        <v>0</v>
      </c>
      <c r="N20" s="135">
        <f t="shared" si="2"/>
        <v>46350</v>
      </c>
      <c r="O20" s="136">
        <f t="shared" si="3"/>
        <v>0</v>
      </c>
      <c r="P20" s="7"/>
      <c r="Q20" s="134">
        <v>0</v>
      </c>
      <c r="R20" s="135">
        <f t="shared" si="4"/>
        <v>47740.5</v>
      </c>
      <c r="S20" s="136">
        <f t="shared" si="5"/>
        <v>0</v>
      </c>
      <c r="T20" s="7"/>
      <c r="U20" s="134">
        <v>1</v>
      </c>
      <c r="V20" s="135">
        <f t="shared" si="6"/>
        <v>49172.715000000004</v>
      </c>
      <c r="W20" s="136">
        <f t="shared" si="7"/>
        <v>49172.715000000004</v>
      </c>
      <c r="X20" s="7"/>
      <c r="Y20" s="134">
        <v>1</v>
      </c>
      <c r="Z20" s="135">
        <f t="shared" si="8"/>
        <v>50647.896450000007</v>
      </c>
      <c r="AA20" s="136">
        <f t="shared" si="9"/>
        <v>50647.896450000007</v>
      </c>
      <c r="AB20" s="124"/>
      <c r="AC20" s="124"/>
      <c r="AD20" s="122"/>
      <c r="AE20" s="122"/>
    </row>
    <row r="21" spans="1:31" ht="15.75" customHeight="1" x14ac:dyDescent="0.25">
      <c r="A21" s="123"/>
      <c r="B21" s="123"/>
      <c r="C21" s="133" t="s">
        <v>182</v>
      </c>
      <c r="D21" s="45"/>
      <c r="E21" s="134"/>
      <c r="F21" s="135">
        <v>0</v>
      </c>
      <c r="G21" s="136">
        <f t="shared" si="0"/>
        <v>0</v>
      </c>
      <c r="H21" s="7"/>
      <c r="I21" s="134">
        <v>1</v>
      </c>
      <c r="J21" s="135">
        <v>45000</v>
      </c>
      <c r="K21" s="136">
        <f t="shared" si="1"/>
        <v>45000</v>
      </c>
      <c r="L21" s="7"/>
      <c r="M21" s="134">
        <v>1</v>
      </c>
      <c r="N21" s="135">
        <f t="shared" si="2"/>
        <v>46350</v>
      </c>
      <c r="O21" s="136">
        <f t="shared" si="3"/>
        <v>46350</v>
      </c>
      <c r="P21" s="7"/>
      <c r="Q21" s="134">
        <v>1</v>
      </c>
      <c r="R21" s="135">
        <f t="shared" si="4"/>
        <v>47740.5</v>
      </c>
      <c r="S21" s="136">
        <f t="shared" si="5"/>
        <v>47740.5</v>
      </c>
      <c r="T21" s="7"/>
      <c r="U21" s="134">
        <v>2</v>
      </c>
      <c r="V21" s="135">
        <f t="shared" si="6"/>
        <v>49172.715000000004</v>
      </c>
      <c r="W21" s="136">
        <f t="shared" si="7"/>
        <v>98345.430000000008</v>
      </c>
      <c r="X21" s="7"/>
      <c r="Y21" s="134">
        <v>2</v>
      </c>
      <c r="Z21" s="135">
        <f t="shared" si="8"/>
        <v>50647.896450000007</v>
      </c>
      <c r="AA21" s="136">
        <f t="shared" si="9"/>
        <v>101295.79290000001</v>
      </c>
      <c r="AB21" s="124"/>
      <c r="AC21" s="124"/>
      <c r="AD21" s="122"/>
      <c r="AE21" s="122"/>
    </row>
    <row r="22" spans="1:31" ht="15.75" customHeight="1" x14ac:dyDescent="0.25">
      <c r="A22" s="123"/>
      <c r="B22" s="123"/>
      <c r="C22" s="133"/>
      <c r="D22" s="45"/>
      <c r="E22" s="134"/>
      <c r="F22" s="135">
        <v>0</v>
      </c>
      <c r="G22" s="136">
        <f t="shared" si="0"/>
        <v>0</v>
      </c>
      <c r="H22" s="7"/>
      <c r="I22" s="134"/>
      <c r="J22" s="135">
        <v>0</v>
      </c>
      <c r="K22" s="136">
        <f t="shared" si="1"/>
        <v>0</v>
      </c>
      <c r="L22" s="7"/>
      <c r="M22" s="134"/>
      <c r="N22" s="135">
        <f t="shared" si="2"/>
        <v>0</v>
      </c>
      <c r="O22" s="136">
        <f t="shared" si="3"/>
        <v>0</v>
      </c>
      <c r="P22" s="7"/>
      <c r="Q22" s="134"/>
      <c r="R22" s="135">
        <f t="shared" si="4"/>
        <v>0</v>
      </c>
      <c r="S22" s="136">
        <f t="shared" si="5"/>
        <v>0</v>
      </c>
      <c r="T22" s="7"/>
      <c r="U22" s="134"/>
      <c r="V22" s="135">
        <f t="shared" si="6"/>
        <v>0</v>
      </c>
      <c r="W22" s="136">
        <f t="shared" si="7"/>
        <v>0</v>
      </c>
      <c r="X22" s="7"/>
      <c r="Y22" s="134"/>
      <c r="Z22" s="135">
        <f t="shared" si="8"/>
        <v>0</v>
      </c>
      <c r="AA22" s="136">
        <f t="shared" si="9"/>
        <v>0</v>
      </c>
      <c r="AB22" s="124"/>
      <c r="AC22" s="124"/>
      <c r="AD22" s="122"/>
      <c r="AE22" s="122"/>
    </row>
    <row r="23" spans="1:31" ht="15.75" customHeight="1" x14ac:dyDescent="0.25">
      <c r="A23" s="123"/>
      <c r="B23" s="123"/>
      <c r="C23" s="139"/>
      <c r="D23" s="57"/>
      <c r="E23" s="134"/>
      <c r="F23" s="135">
        <v>0</v>
      </c>
      <c r="G23" s="136">
        <f t="shared" si="0"/>
        <v>0</v>
      </c>
      <c r="H23" s="7"/>
      <c r="I23" s="134"/>
      <c r="J23" s="135">
        <v>0</v>
      </c>
      <c r="K23" s="136">
        <f t="shared" si="1"/>
        <v>0</v>
      </c>
      <c r="L23" s="7"/>
      <c r="M23" s="134"/>
      <c r="N23" s="135">
        <f t="shared" si="2"/>
        <v>0</v>
      </c>
      <c r="O23" s="136">
        <f t="shared" si="3"/>
        <v>0</v>
      </c>
      <c r="P23" s="7"/>
      <c r="Q23" s="134"/>
      <c r="R23" s="135">
        <f t="shared" si="4"/>
        <v>0</v>
      </c>
      <c r="S23" s="136">
        <f t="shared" si="5"/>
        <v>0</v>
      </c>
      <c r="T23" s="7"/>
      <c r="U23" s="134"/>
      <c r="V23" s="135">
        <f t="shared" si="6"/>
        <v>0</v>
      </c>
      <c r="W23" s="136">
        <f t="shared" si="7"/>
        <v>0</v>
      </c>
      <c r="X23" s="7"/>
      <c r="Y23" s="134"/>
      <c r="Z23" s="135">
        <f t="shared" si="8"/>
        <v>0</v>
      </c>
      <c r="AA23" s="136">
        <f t="shared" si="9"/>
        <v>0</v>
      </c>
      <c r="AB23" s="124"/>
      <c r="AC23" s="124"/>
      <c r="AD23" s="122"/>
      <c r="AE23" s="122"/>
    </row>
    <row r="24" spans="1:31" ht="15.75" customHeight="1" x14ac:dyDescent="0.25">
      <c r="A24" s="123"/>
      <c r="B24" s="123"/>
      <c r="C24" s="140" t="s">
        <v>183</v>
      </c>
      <c r="D24" s="79"/>
      <c r="E24" s="126">
        <f>SUM(E9:E23)</f>
        <v>0</v>
      </c>
      <c r="F24" s="141"/>
      <c r="G24" s="142">
        <f>SUM(G9:G23)</f>
        <v>0</v>
      </c>
      <c r="H24" s="3"/>
      <c r="I24" s="126">
        <f>SUM(I9:I23)</f>
        <v>24</v>
      </c>
      <c r="J24" s="141"/>
      <c r="K24" s="143">
        <f>SUM(K9:K23)</f>
        <v>1080000</v>
      </c>
      <c r="L24" s="3"/>
      <c r="M24" s="126">
        <f>SUM(M9:M23)</f>
        <v>28</v>
      </c>
      <c r="N24" s="141"/>
      <c r="O24" s="142">
        <f>SUM(O9:O23)</f>
        <v>1297800</v>
      </c>
      <c r="P24" s="3"/>
      <c r="Q24" s="126">
        <f>SUM(Q9:Q23)</f>
        <v>31</v>
      </c>
      <c r="R24" s="141"/>
      <c r="S24" s="142">
        <f>SUM(S9:S23)</f>
        <v>1479955.5</v>
      </c>
      <c r="T24" s="3"/>
      <c r="U24" s="126">
        <f>SUM(U9:U23)</f>
        <v>36</v>
      </c>
      <c r="V24" s="141"/>
      <c r="W24" s="142">
        <f>SUM(W9:W23)</f>
        <v>1770217.7400000005</v>
      </c>
      <c r="X24" s="3"/>
      <c r="Y24" s="126">
        <f>SUM(Y9:Y23)</f>
        <v>39</v>
      </c>
      <c r="Z24" s="141"/>
      <c r="AA24" s="142">
        <f>SUM(AA9:AA23)</f>
        <v>1975267.9615500008</v>
      </c>
      <c r="AB24" s="124"/>
      <c r="AC24" s="124"/>
      <c r="AD24" s="122"/>
      <c r="AE24" s="122"/>
    </row>
    <row r="25" spans="1:31" ht="15.75" customHeight="1" x14ac:dyDescent="0.25">
      <c r="A25" s="123"/>
      <c r="B25" s="123"/>
      <c r="C25" s="144"/>
      <c r="D25" s="79"/>
      <c r="E25" s="145"/>
      <c r="F25" s="79"/>
      <c r="G25" s="137"/>
      <c r="H25" s="79"/>
      <c r="I25" s="145"/>
      <c r="J25" s="79"/>
      <c r="K25" s="137"/>
      <c r="L25" s="79"/>
      <c r="M25" s="145"/>
      <c r="N25" s="79"/>
      <c r="O25" s="137"/>
      <c r="P25" s="79"/>
      <c r="Q25" s="145"/>
      <c r="R25" s="79"/>
      <c r="S25" s="137"/>
      <c r="T25" s="79"/>
      <c r="U25" s="145"/>
      <c r="V25" s="79"/>
      <c r="W25" s="137"/>
      <c r="X25" s="79"/>
      <c r="Y25" s="145"/>
      <c r="Z25" s="79"/>
      <c r="AA25" s="137"/>
      <c r="AB25" s="124"/>
      <c r="AC25" s="124"/>
      <c r="AD25" s="122"/>
      <c r="AE25" s="122"/>
    </row>
    <row r="26" spans="1:31" ht="15.75" customHeight="1" x14ac:dyDescent="0.25">
      <c r="A26" s="123"/>
      <c r="B26" s="123"/>
      <c r="C26" s="131" t="s">
        <v>184</v>
      </c>
      <c r="D26" s="132"/>
      <c r="E26" s="21"/>
      <c r="F26" s="5"/>
      <c r="G26" s="6"/>
      <c r="H26" s="3"/>
      <c r="I26" s="21"/>
      <c r="J26" s="5"/>
      <c r="K26" s="6"/>
      <c r="L26" s="3"/>
      <c r="M26" s="21"/>
      <c r="N26" s="5"/>
      <c r="O26" s="6"/>
      <c r="P26" s="3"/>
      <c r="Q26" s="21"/>
      <c r="R26" s="5"/>
      <c r="S26" s="6"/>
      <c r="T26" s="3"/>
      <c r="U26" s="21"/>
      <c r="V26" s="5"/>
      <c r="W26" s="6"/>
      <c r="X26" s="3"/>
      <c r="Y26" s="21"/>
      <c r="Z26" s="5"/>
      <c r="AA26" s="6"/>
      <c r="AB26" s="137"/>
      <c r="AC26" s="137"/>
      <c r="AD26" s="138"/>
      <c r="AE26" s="138"/>
    </row>
    <row r="27" spans="1:31" ht="15.75" customHeight="1" x14ac:dyDescent="0.25">
      <c r="A27" s="123"/>
      <c r="B27" s="123"/>
      <c r="C27" s="133" t="s">
        <v>185</v>
      </c>
      <c r="D27" s="45"/>
      <c r="E27" s="134">
        <v>0.75</v>
      </c>
      <c r="F27" s="135">
        <v>85000</v>
      </c>
      <c r="G27" s="136">
        <f t="shared" ref="G27:G41" si="10">F27*E27</f>
        <v>63750</v>
      </c>
      <c r="H27" s="7"/>
      <c r="I27" s="134">
        <v>1</v>
      </c>
      <c r="J27" s="135">
        <v>90000</v>
      </c>
      <c r="K27" s="136">
        <f t="shared" ref="K27:K41" si="11">J27*I27</f>
        <v>90000</v>
      </c>
      <c r="L27" s="7"/>
      <c r="M27" s="134">
        <v>1</v>
      </c>
      <c r="N27" s="135">
        <f t="shared" ref="N27:N41" si="12">J27*1.03</f>
        <v>92700</v>
      </c>
      <c r="O27" s="136">
        <f t="shared" ref="O27:O41" si="13">N27*M27</f>
        <v>92700</v>
      </c>
      <c r="P27" s="7"/>
      <c r="Q27" s="134">
        <v>1</v>
      </c>
      <c r="R27" s="135">
        <f t="shared" ref="R27:R41" si="14">N27*1.03</f>
        <v>95481</v>
      </c>
      <c r="S27" s="136">
        <f t="shared" ref="S27:S41" si="15">R27*Q27</f>
        <v>95481</v>
      </c>
      <c r="T27" s="7"/>
      <c r="U27" s="134">
        <v>1</v>
      </c>
      <c r="V27" s="135">
        <f t="shared" ref="V27:V41" si="16">R27*1.03</f>
        <v>98345.430000000008</v>
      </c>
      <c r="W27" s="136">
        <f t="shared" ref="W27:W41" si="17">V27*U27</f>
        <v>98345.430000000008</v>
      </c>
      <c r="X27" s="7"/>
      <c r="Y27" s="134">
        <v>1</v>
      </c>
      <c r="Z27" s="135">
        <f t="shared" ref="Z27:Z41" si="18">V27*1.03</f>
        <v>101295.79290000001</v>
      </c>
      <c r="AA27" s="136">
        <f t="shared" ref="AA27:AA41" si="19">Z27*Y27</f>
        <v>101295.79290000001</v>
      </c>
      <c r="AB27" s="124"/>
      <c r="AC27" s="124"/>
      <c r="AD27" s="122"/>
      <c r="AE27" s="122"/>
    </row>
    <row r="28" spans="1:31" ht="15.75" customHeight="1" x14ac:dyDescent="0.25">
      <c r="A28" s="123"/>
      <c r="B28" s="123"/>
      <c r="C28" s="133" t="s">
        <v>186</v>
      </c>
      <c r="D28" s="45"/>
      <c r="E28" s="134"/>
      <c r="F28" s="135">
        <v>0</v>
      </c>
      <c r="G28" s="136">
        <f t="shared" si="10"/>
        <v>0</v>
      </c>
      <c r="H28" s="7"/>
      <c r="I28" s="134">
        <v>1</v>
      </c>
      <c r="J28" s="135">
        <v>60000</v>
      </c>
      <c r="K28" s="136">
        <f t="shared" si="11"/>
        <v>60000</v>
      </c>
      <c r="L28" s="7"/>
      <c r="M28" s="134">
        <v>1</v>
      </c>
      <c r="N28" s="135">
        <f t="shared" si="12"/>
        <v>61800</v>
      </c>
      <c r="O28" s="136">
        <f t="shared" si="13"/>
        <v>61800</v>
      </c>
      <c r="P28" s="7"/>
      <c r="Q28" s="134">
        <v>1</v>
      </c>
      <c r="R28" s="135">
        <f t="shared" si="14"/>
        <v>63654</v>
      </c>
      <c r="S28" s="136">
        <f t="shared" si="15"/>
        <v>63654</v>
      </c>
      <c r="T28" s="7"/>
      <c r="U28" s="134">
        <v>2</v>
      </c>
      <c r="V28" s="135">
        <f t="shared" si="16"/>
        <v>65563.62</v>
      </c>
      <c r="W28" s="136">
        <f t="shared" si="17"/>
        <v>131127.24</v>
      </c>
      <c r="X28" s="7"/>
      <c r="Y28" s="134">
        <v>2</v>
      </c>
      <c r="Z28" s="135">
        <f t="shared" si="18"/>
        <v>67530.528599999991</v>
      </c>
      <c r="AA28" s="136">
        <f t="shared" si="19"/>
        <v>135061.05719999998</v>
      </c>
      <c r="AB28" s="124"/>
      <c r="AC28" s="124"/>
      <c r="AD28" s="122"/>
      <c r="AE28" s="122"/>
    </row>
    <row r="29" spans="1:31" ht="15.75" customHeight="1" x14ac:dyDescent="0.25">
      <c r="A29" s="123"/>
      <c r="B29" s="123"/>
      <c r="C29" s="133" t="s">
        <v>187</v>
      </c>
      <c r="D29" s="45"/>
      <c r="E29" s="134"/>
      <c r="F29" s="135">
        <v>0</v>
      </c>
      <c r="G29" s="136">
        <f t="shared" si="10"/>
        <v>0</v>
      </c>
      <c r="H29" s="7"/>
      <c r="I29" s="134">
        <v>0</v>
      </c>
      <c r="J29" s="135">
        <v>55000</v>
      </c>
      <c r="K29" s="136">
        <f t="shared" si="11"/>
        <v>0</v>
      </c>
      <c r="L29" s="7"/>
      <c r="M29" s="134">
        <v>1</v>
      </c>
      <c r="N29" s="135">
        <f t="shared" si="12"/>
        <v>56650</v>
      </c>
      <c r="O29" s="136">
        <f t="shared" si="13"/>
        <v>56650</v>
      </c>
      <c r="P29" s="7"/>
      <c r="Q29" s="134">
        <v>1</v>
      </c>
      <c r="R29" s="135">
        <f t="shared" si="14"/>
        <v>58349.5</v>
      </c>
      <c r="S29" s="136">
        <f t="shared" si="15"/>
        <v>58349.5</v>
      </c>
      <c r="T29" s="7"/>
      <c r="U29" s="134">
        <v>1</v>
      </c>
      <c r="V29" s="135">
        <f t="shared" si="16"/>
        <v>60099.985000000001</v>
      </c>
      <c r="W29" s="136">
        <f t="shared" si="17"/>
        <v>60099.985000000001</v>
      </c>
      <c r="X29" s="7"/>
      <c r="Y29" s="134">
        <v>1</v>
      </c>
      <c r="Z29" s="135">
        <f t="shared" si="18"/>
        <v>61902.984550000001</v>
      </c>
      <c r="AA29" s="136">
        <f t="shared" si="19"/>
        <v>61902.984550000001</v>
      </c>
      <c r="AB29" s="124"/>
      <c r="AC29" s="124"/>
      <c r="AD29" s="122"/>
      <c r="AE29" s="122"/>
    </row>
    <row r="30" spans="1:31" ht="15.75" customHeight="1" x14ac:dyDescent="0.25">
      <c r="A30" s="123"/>
      <c r="B30" s="123"/>
      <c r="C30" s="133" t="s">
        <v>188</v>
      </c>
      <c r="D30" s="45"/>
      <c r="E30" s="134"/>
      <c r="F30" s="135">
        <v>0</v>
      </c>
      <c r="G30" s="136">
        <f t="shared" si="10"/>
        <v>0</v>
      </c>
      <c r="H30" s="7"/>
      <c r="I30" s="134">
        <v>1</v>
      </c>
      <c r="J30" s="135">
        <v>50000</v>
      </c>
      <c r="K30" s="136">
        <f t="shared" si="11"/>
        <v>50000</v>
      </c>
      <c r="L30" s="7"/>
      <c r="M30" s="134">
        <v>1</v>
      </c>
      <c r="N30" s="135">
        <f t="shared" si="12"/>
        <v>51500</v>
      </c>
      <c r="O30" s="136">
        <f t="shared" si="13"/>
        <v>51500</v>
      </c>
      <c r="P30" s="7"/>
      <c r="Q30" s="134">
        <v>1</v>
      </c>
      <c r="R30" s="135">
        <f t="shared" si="14"/>
        <v>53045</v>
      </c>
      <c r="S30" s="136">
        <f t="shared" si="15"/>
        <v>53045</v>
      </c>
      <c r="T30" s="7"/>
      <c r="U30" s="134">
        <v>1</v>
      </c>
      <c r="V30" s="135">
        <f t="shared" si="16"/>
        <v>54636.35</v>
      </c>
      <c r="W30" s="136">
        <f t="shared" si="17"/>
        <v>54636.35</v>
      </c>
      <c r="X30" s="7"/>
      <c r="Y30" s="134">
        <v>1</v>
      </c>
      <c r="Z30" s="135">
        <f t="shared" si="18"/>
        <v>56275.440499999997</v>
      </c>
      <c r="AA30" s="136">
        <f t="shared" si="19"/>
        <v>56275.440499999997</v>
      </c>
      <c r="AB30" s="124"/>
      <c r="AC30" s="124"/>
      <c r="AD30" s="122"/>
      <c r="AE30" s="122"/>
    </row>
    <row r="31" spans="1:31" ht="15.75" customHeight="1" x14ac:dyDescent="0.25">
      <c r="A31" s="123"/>
      <c r="B31" s="123"/>
      <c r="C31" s="133" t="s">
        <v>189</v>
      </c>
      <c r="D31" s="45"/>
      <c r="E31" s="134"/>
      <c r="F31" s="135">
        <v>0</v>
      </c>
      <c r="G31" s="136">
        <f t="shared" si="10"/>
        <v>0</v>
      </c>
      <c r="H31" s="7"/>
      <c r="I31" s="134">
        <v>1</v>
      </c>
      <c r="J31" s="135">
        <v>35000</v>
      </c>
      <c r="K31" s="136">
        <f t="shared" si="11"/>
        <v>35000</v>
      </c>
      <c r="L31" s="7"/>
      <c r="M31" s="134">
        <v>2</v>
      </c>
      <c r="N31" s="135">
        <f t="shared" si="12"/>
        <v>36050</v>
      </c>
      <c r="O31" s="136">
        <f t="shared" si="13"/>
        <v>72100</v>
      </c>
      <c r="P31" s="7"/>
      <c r="Q31" s="134">
        <v>4</v>
      </c>
      <c r="R31" s="135">
        <f t="shared" si="14"/>
        <v>37131.5</v>
      </c>
      <c r="S31" s="136">
        <f t="shared" si="15"/>
        <v>148526</v>
      </c>
      <c r="T31" s="7"/>
      <c r="U31" s="134">
        <v>4</v>
      </c>
      <c r="V31" s="135">
        <f t="shared" si="16"/>
        <v>38245.445</v>
      </c>
      <c r="W31" s="136">
        <f t="shared" si="17"/>
        <v>152981.78</v>
      </c>
      <c r="X31" s="7"/>
      <c r="Y31" s="134">
        <v>4</v>
      </c>
      <c r="Z31" s="135">
        <f t="shared" si="18"/>
        <v>39392.808349999999</v>
      </c>
      <c r="AA31" s="136">
        <f t="shared" si="19"/>
        <v>157571.2334</v>
      </c>
      <c r="AB31" s="124"/>
      <c r="AC31" s="124"/>
      <c r="AD31" s="122"/>
      <c r="AE31" s="122"/>
    </row>
    <row r="32" spans="1:31" ht="15.75" customHeight="1" x14ac:dyDescent="0.25">
      <c r="A32" s="123"/>
      <c r="B32" s="123"/>
      <c r="C32" s="133" t="s">
        <v>190</v>
      </c>
      <c r="D32" s="45"/>
      <c r="E32" s="134"/>
      <c r="F32" s="135">
        <v>0</v>
      </c>
      <c r="G32" s="136">
        <f t="shared" si="10"/>
        <v>0</v>
      </c>
      <c r="H32" s="7"/>
      <c r="I32" s="134">
        <v>1</v>
      </c>
      <c r="J32" s="135">
        <v>55000</v>
      </c>
      <c r="K32" s="136">
        <f t="shared" si="11"/>
        <v>55000</v>
      </c>
      <c r="L32" s="7"/>
      <c r="M32" s="134">
        <v>1</v>
      </c>
      <c r="N32" s="135">
        <f t="shared" si="12"/>
        <v>56650</v>
      </c>
      <c r="O32" s="136">
        <f t="shared" si="13"/>
        <v>56650</v>
      </c>
      <c r="P32" s="7"/>
      <c r="Q32" s="134">
        <v>1</v>
      </c>
      <c r="R32" s="135">
        <f t="shared" si="14"/>
        <v>58349.5</v>
      </c>
      <c r="S32" s="136">
        <f t="shared" si="15"/>
        <v>58349.5</v>
      </c>
      <c r="T32" s="7"/>
      <c r="U32" s="134">
        <v>1</v>
      </c>
      <c r="V32" s="135">
        <f t="shared" si="16"/>
        <v>60099.985000000001</v>
      </c>
      <c r="W32" s="136">
        <f t="shared" si="17"/>
        <v>60099.985000000001</v>
      </c>
      <c r="X32" s="7"/>
      <c r="Y32" s="134">
        <v>1</v>
      </c>
      <c r="Z32" s="135">
        <f t="shared" si="18"/>
        <v>61902.984550000001</v>
      </c>
      <c r="AA32" s="136">
        <f t="shared" si="19"/>
        <v>61902.984550000001</v>
      </c>
      <c r="AB32" s="124"/>
      <c r="AC32" s="124"/>
      <c r="AD32" s="122"/>
      <c r="AE32" s="122"/>
    </row>
    <row r="33" spans="1:31" ht="15.75" customHeight="1" x14ac:dyDescent="0.25">
      <c r="A33" s="123"/>
      <c r="B33" s="123"/>
      <c r="C33" s="133" t="s">
        <v>191</v>
      </c>
      <c r="D33" s="45"/>
      <c r="E33" s="134">
        <v>0.25</v>
      </c>
      <c r="F33" s="135">
        <v>38000</v>
      </c>
      <c r="G33" s="136">
        <f t="shared" si="10"/>
        <v>9500</v>
      </c>
      <c r="H33" s="7"/>
      <c r="I33" s="134">
        <v>1</v>
      </c>
      <c r="J33" s="135">
        <v>40000</v>
      </c>
      <c r="K33" s="136">
        <f t="shared" si="11"/>
        <v>40000</v>
      </c>
      <c r="L33" s="7"/>
      <c r="M33" s="134">
        <v>1</v>
      </c>
      <c r="N33" s="135">
        <f t="shared" si="12"/>
        <v>41200</v>
      </c>
      <c r="O33" s="136">
        <f t="shared" si="13"/>
        <v>41200</v>
      </c>
      <c r="P33" s="7"/>
      <c r="Q33" s="134">
        <v>1</v>
      </c>
      <c r="R33" s="135">
        <f t="shared" si="14"/>
        <v>42436</v>
      </c>
      <c r="S33" s="136">
        <f t="shared" si="15"/>
        <v>42436</v>
      </c>
      <c r="T33" s="7"/>
      <c r="U33" s="134">
        <v>1</v>
      </c>
      <c r="V33" s="135">
        <f t="shared" si="16"/>
        <v>43709.08</v>
      </c>
      <c r="W33" s="136">
        <f t="shared" si="17"/>
        <v>43709.08</v>
      </c>
      <c r="X33" s="7"/>
      <c r="Y33" s="134">
        <v>1</v>
      </c>
      <c r="Z33" s="135">
        <f t="shared" si="18"/>
        <v>45020.352400000003</v>
      </c>
      <c r="AA33" s="136">
        <f t="shared" si="19"/>
        <v>45020.352400000003</v>
      </c>
      <c r="AB33" s="124"/>
      <c r="AC33" s="124"/>
      <c r="AD33" s="122"/>
      <c r="AE33" s="122"/>
    </row>
    <row r="34" spans="1:31" ht="15.75" customHeight="1" x14ac:dyDescent="0.25">
      <c r="A34" s="123"/>
      <c r="B34" s="123"/>
      <c r="C34" s="133" t="s">
        <v>192</v>
      </c>
      <c r="D34" s="45"/>
      <c r="E34" s="134"/>
      <c r="F34" s="135">
        <v>0</v>
      </c>
      <c r="G34" s="136">
        <f t="shared" si="10"/>
        <v>0</v>
      </c>
      <c r="H34" s="7"/>
      <c r="I34" s="134">
        <v>1</v>
      </c>
      <c r="J34" s="135">
        <v>45000</v>
      </c>
      <c r="K34" s="136">
        <f t="shared" si="11"/>
        <v>45000</v>
      </c>
      <c r="L34" s="7"/>
      <c r="M34" s="134">
        <v>1</v>
      </c>
      <c r="N34" s="135">
        <f t="shared" si="12"/>
        <v>46350</v>
      </c>
      <c r="O34" s="136">
        <f t="shared" si="13"/>
        <v>46350</v>
      </c>
      <c r="P34" s="7"/>
      <c r="Q34" s="134">
        <v>1</v>
      </c>
      <c r="R34" s="135">
        <f t="shared" si="14"/>
        <v>47740.5</v>
      </c>
      <c r="S34" s="136">
        <f t="shared" si="15"/>
        <v>47740.5</v>
      </c>
      <c r="T34" s="7"/>
      <c r="U34" s="134">
        <v>1</v>
      </c>
      <c r="V34" s="135">
        <f t="shared" si="16"/>
        <v>49172.715000000004</v>
      </c>
      <c r="W34" s="136">
        <f t="shared" si="17"/>
        <v>49172.715000000004</v>
      </c>
      <c r="X34" s="7"/>
      <c r="Y34" s="134">
        <v>1</v>
      </c>
      <c r="Z34" s="135">
        <f t="shared" si="18"/>
        <v>50647.896450000007</v>
      </c>
      <c r="AA34" s="136">
        <f t="shared" si="19"/>
        <v>50647.896450000007</v>
      </c>
      <c r="AB34" s="124"/>
      <c r="AC34" s="124"/>
      <c r="AD34" s="122"/>
      <c r="AE34" s="122"/>
    </row>
    <row r="35" spans="1:31" ht="15.75" customHeight="1" x14ac:dyDescent="0.25">
      <c r="A35" s="123"/>
      <c r="B35" s="123"/>
      <c r="C35" s="133" t="s">
        <v>193</v>
      </c>
      <c r="D35" s="45"/>
      <c r="E35" s="134"/>
      <c r="F35" s="135">
        <v>0</v>
      </c>
      <c r="G35" s="136">
        <f t="shared" si="10"/>
        <v>0</v>
      </c>
      <c r="H35" s="7"/>
      <c r="I35" s="134">
        <v>3</v>
      </c>
      <c r="J35" s="135">
        <v>30000</v>
      </c>
      <c r="K35" s="136">
        <f t="shared" si="11"/>
        <v>90000</v>
      </c>
      <c r="L35" s="7"/>
      <c r="M35" s="134">
        <v>4</v>
      </c>
      <c r="N35" s="135">
        <f t="shared" si="12"/>
        <v>30900</v>
      </c>
      <c r="O35" s="136">
        <f t="shared" si="13"/>
        <v>123600</v>
      </c>
      <c r="P35" s="7"/>
      <c r="Q35" s="134">
        <v>4</v>
      </c>
      <c r="R35" s="135">
        <f t="shared" si="14"/>
        <v>31827</v>
      </c>
      <c r="S35" s="136">
        <f t="shared" si="15"/>
        <v>127308</v>
      </c>
      <c r="T35" s="7"/>
      <c r="U35" s="134">
        <v>4</v>
      </c>
      <c r="V35" s="135">
        <f t="shared" si="16"/>
        <v>32781.81</v>
      </c>
      <c r="W35" s="136">
        <f t="shared" si="17"/>
        <v>131127.24</v>
      </c>
      <c r="X35" s="7"/>
      <c r="Y35" s="134">
        <v>5</v>
      </c>
      <c r="Z35" s="135">
        <f t="shared" si="18"/>
        <v>33765.264299999995</v>
      </c>
      <c r="AA35" s="136">
        <f t="shared" si="19"/>
        <v>168826.32149999996</v>
      </c>
      <c r="AB35" s="124"/>
      <c r="AC35" s="124"/>
      <c r="AD35" s="122"/>
      <c r="AE35" s="122"/>
    </row>
    <row r="36" spans="1:31" ht="15.75" customHeight="1" x14ac:dyDescent="0.25">
      <c r="A36" s="123"/>
      <c r="B36" s="123"/>
      <c r="C36" s="133" t="s">
        <v>194</v>
      </c>
      <c r="D36" s="45"/>
      <c r="E36" s="134"/>
      <c r="F36" s="135">
        <v>40000</v>
      </c>
      <c r="G36" s="136">
        <f t="shared" si="10"/>
        <v>0</v>
      </c>
      <c r="H36" s="7"/>
      <c r="I36" s="134">
        <v>1</v>
      </c>
      <c r="J36" s="135">
        <v>40000</v>
      </c>
      <c r="K36" s="136">
        <f t="shared" si="11"/>
        <v>40000</v>
      </c>
      <c r="L36" s="7"/>
      <c r="M36" s="134">
        <v>1</v>
      </c>
      <c r="N36" s="135">
        <f t="shared" si="12"/>
        <v>41200</v>
      </c>
      <c r="O36" s="136">
        <f t="shared" si="13"/>
        <v>41200</v>
      </c>
      <c r="P36" s="7"/>
      <c r="Q36" s="134">
        <v>1</v>
      </c>
      <c r="R36" s="135">
        <f t="shared" si="14"/>
        <v>42436</v>
      </c>
      <c r="S36" s="136">
        <f t="shared" si="15"/>
        <v>42436</v>
      </c>
      <c r="T36" s="7"/>
      <c r="U36" s="134">
        <v>1</v>
      </c>
      <c r="V36" s="135">
        <f t="shared" si="16"/>
        <v>43709.08</v>
      </c>
      <c r="W36" s="136">
        <f t="shared" si="17"/>
        <v>43709.08</v>
      </c>
      <c r="X36" s="7"/>
      <c r="Y36" s="134">
        <v>1</v>
      </c>
      <c r="Z36" s="135">
        <f t="shared" si="18"/>
        <v>45020.352400000003</v>
      </c>
      <c r="AA36" s="136">
        <f t="shared" si="19"/>
        <v>45020.352400000003</v>
      </c>
      <c r="AB36" s="124"/>
      <c r="AC36" s="124"/>
      <c r="AD36" s="122"/>
      <c r="AE36" s="122"/>
    </row>
    <row r="37" spans="1:31" ht="15.75" customHeight="1" x14ac:dyDescent="0.25">
      <c r="A37" s="123"/>
      <c r="B37" s="123"/>
      <c r="C37" s="133" t="s">
        <v>195</v>
      </c>
      <c r="D37" s="45"/>
      <c r="E37" s="134"/>
      <c r="F37" s="135">
        <v>0</v>
      </c>
      <c r="G37" s="136">
        <f t="shared" si="10"/>
        <v>0</v>
      </c>
      <c r="H37" s="7"/>
      <c r="I37" s="134">
        <v>0</v>
      </c>
      <c r="J37" s="135">
        <v>50000</v>
      </c>
      <c r="K37" s="136">
        <f t="shared" si="11"/>
        <v>0</v>
      </c>
      <c r="L37" s="7"/>
      <c r="M37" s="134">
        <v>1</v>
      </c>
      <c r="N37" s="135">
        <f t="shared" si="12"/>
        <v>51500</v>
      </c>
      <c r="O37" s="136">
        <f t="shared" si="13"/>
        <v>51500</v>
      </c>
      <c r="P37" s="7"/>
      <c r="Q37" s="134">
        <v>1</v>
      </c>
      <c r="R37" s="135">
        <f t="shared" si="14"/>
        <v>53045</v>
      </c>
      <c r="S37" s="136">
        <f t="shared" si="15"/>
        <v>53045</v>
      </c>
      <c r="T37" s="7"/>
      <c r="U37" s="134">
        <v>1</v>
      </c>
      <c r="V37" s="135">
        <f t="shared" si="16"/>
        <v>54636.35</v>
      </c>
      <c r="W37" s="136">
        <f t="shared" si="17"/>
        <v>54636.35</v>
      </c>
      <c r="X37" s="7"/>
      <c r="Y37" s="134">
        <v>1</v>
      </c>
      <c r="Z37" s="135">
        <f t="shared" si="18"/>
        <v>56275.440499999997</v>
      </c>
      <c r="AA37" s="136">
        <f t="shared" si="19"/>
        <v>56275.440499999997</v>
      </c>
      <c r="AB37" s="124"/>
      <c r="AC37" s="124"/>
      <c r="AD37" s="122"/>
      <c r="AE37" s="122"/>
    </row>
    <row r="38" spans="1:31" ht="15.75" customHeight="1" x14ac:dyDescent="0.25">
      <c r="A38" s="123"/>
      <c r="B38" s="123"/>
      <c r="C38" s="133" t="s">
        <v>196</v>
      </c>
      <c r="D38" s="45"/>
      <c r="E38" s="134"/>
      <c r="F38" s="135">
        <v>0</v>
      </c>
      <c r="G38" s="136">
        <f t="shared" si="10"/>
        <v>0</v>
      </c>
      <c r="H38" s="7"/>
      <c r="I38" s="134">
        <v>1</v>
      </c>
      <c r="J38" s="135">
        <v>40000</v>
      </c>
      <c r="K38" s="136">
        <f t="shared" si="11"/>
        <v>40000</v>
      </c>
      <c r="L38" s="7"/>
      <c r="M38" s="134">
        <v>0</v>
      </c>
      <c r="N38" s="135">
        <f t="shared" si="12"/>
        <v>41200</v>
      </c>
      <c r="O38" s="136">
        <f t="shared" si="13"/>
        <v>0</v>
      </c>
      <c r="P38" s="7"/>
      <c r="Q38" s="134">
        <v>1</v>
      </c>
      <c r="R38" s="135">
        <f t="shared" si="14"/>
        <v>42436</v>
      </c>
      <c r="S38" s="136">
        <f t="shared" si="15"/>
        <v>42436</v>
      </c>
      <c r="T38" s="7"/>
      <c r="U38" s="134">
        <v>1</v>
      </c>
      <c r="V38" s="135">
        <f t="shared" si="16"/>
        <v>43709.08</v>
      </c>
      <c r="W38" s="136">
        <f t="shared" si="17"/>
        <v>43709.08</v>
      </c>
      <c r="X38" s="7"/>
      <c r="Y38" s="134">
        <v>1</v>
      </c>
      <c r="Z38" s="135">
        <f t="shared" si="18"/>
        <v>45020.352400000003</v>
      </c>
      <c r="AA38" s="136">
        <f t="shared" si="19"/>
        <v>45020.352400000003</v>
      </c>
      <c r="AB38" s="124"/>
      <c r="AC38" s="124"/>
      <c r="AD38" s="122"/>
      <c r="AE38" s="122"/>
    </row>
    <row r="39" spans="1:31" ht="15.75" customHeight="1" x14ac:dyDescent="0.25">
      <c r="A39" s="123"/>
      <c r="B39" s="123"/>
      <c r="C39" s="133" t="s">
        <v>197</v>
      </c>
      <c r="D39" s="45"/>
      <c r="E39" s="134"/>
      <c r="F39" s="135">
        <v>0</v>
      </c>
      <c r="G39" s="136">
        <f t="shared" si="10"/>
        <v>0</v>
      </c>
      <c r="H39" s="7"/>
      <c r="I39" s="134">
        <v>0</v>
      </c>
      <c r="J39" s="135">
        <v>30000</v>
      </c>
      <c r="K39" s="136">
        <f t="shared" si="11"/>
        <v>0</v>
      </c>
      <c r="L39" s="7"/>
      <c r="M39" s="134">
        <v>1</v>
      </c>
      <c r="N39" s="135">
        <f t="shared" si="12"/>
        <v>30900</v>
      </c>
      <c r="O39" s="136">
        <f t="shared" si="13"/>
        <v>30900</v>
      </c>
      <c r="P39" s="7"/>
      <c r="Q39" s="134">
        <v>1</v>
      </c>
      <c r="R39" s="135">
        <f t="shared" si="14"/>
        <v>31827</v>
      </c>
      <c r="S39" s="136">
        <f t="shared" si="15"/>
        <v>31827</v>
      </c>
      <c r="T39" s="7"/>
      <c r="U39" s="134">
        <v>1</v>
      </c>
      <c r="V39" s="135">
        <f t="shared" si="16"/>
        <v>32781.81</v>
      </c>
      <c r="W39" s="136">
        <f t="shared" si="17"/>
        <v>32781.81</v>
      </c>
      <c r="X39" s="7"/>
      <c r="Y39" s="134">
        <v>1</v>
      </c>
      <c r="Z39" s="135">
        <f t="shared" si="18"/>
        <v>33765.264299999995</v>
      </c>
      <c r="AA39" s="136">
        <f t="shared" si="19"/>
        <v>33765.264299999995</v>
      </c>
      <c r="AB39" s="124"/>
      <c r="AC39" s="124"/>
      <c r="AD39" s="122"/>
      <c r="AE39" s="122"/>
    </row>
    <row r="40" spans="1:31" ht="15.75" customHeight="1" x14ac:dyDescent="0.25">
      <c r="A40" s="123"/>
      <c r="B40" s="123"/>
      <c r="C40" s="133"/>
      <c r="D40" s="45"/>
      <c r="E40" s="134"/>
      <c r="F40" s="135">
        <v>0</v>
      </c>
      <c r="G40" s="136">
        <f t="shared" si="10"/>
        <v>0</v>
      </c>
      <c r="H40" s="7"/>
      <c r="I40" s="134"/>
      <c r="J40" s="135">
        <v>0</v>
      </c>
      <c r="K40" s="136">
        <f t="shared" si="11"/>
        <v>0</v>
      </c>
      <c r="L40" s="7"/>
      <c r="M40" s="134"/>
      <c r="N40" s="135">
        <f t="shared" si="12"/>
        <v>0</v>
      </c>
      <c r="O40" s="136">
        <f t="shared" si="13"/>
        <v>0</v>
      </c>
      <c r="P40" s="7"/>
      <c r="Q40" s="134"/>
      <c r="R40" s="135">
        <f t="shared" si="14"/>
        <v>0</v>
      </c>
      <c r="S40" s="136">
        <f t="shared" si="15"/>
        <v>0</v>
      </c>
      <c r="T40" s="7"/>
      <c r="U40" s="134"/>
      <c r="V40" s="135">
        <f t="shared" si="16"/>
        <v>0</v>
      </c>
      <c r="W40" s="136">
        <f t="shared" si="17"/>
        <v>0</v>
      </c>
      <c r="X40" s="7"/>
      <c r="Y40" s="134"/>
      <c r="Z40" s="135">
        <f t="shared" si="18"/>
        <v>0</v>
      </c>
      <c r="AA40" s="136">
        <f t="shared" si="19"/>
        <v>0</v>
      </c>
      <c r="AB40" s="124"/>
      <c r="AC40" s="124"/>
      <c r="AD40" s="122"/>
      <c r="AE40" s="122"/>
    </row>
    <row r="41" spans="1:31" ht="15.75" customHeight="1" x14ac:dyDescent="0.25">
      <c r="A41" s="123"/>
      <c r="B41" s="123"/>
      <c r="C41" s="133"/>
      <c r="D41" s="45"/>
      <c r="E41" s="134"/>
      <c r="F41" s="135">
        <v>0</v>
      </c>
      <c r="G41" s="136">
        <f t="shared" si="10"/>
        <v>0</v>
      </c>
      <c r="H41" s="7"/>
      <c r="I41" s="134"/>
      <c r="J41" s="135">
        <v>0</v>
      </c>
      <c r="K41" s="136">
        <f t="shared" si="11"/>
        <v>0</v>
      </c>
      <c r="L41" s="7"/>
      <c r="M41" s="134"/>
      <c r="N41" s="135">
        <f t="shared" si="12"/>
        <v>0</v>
      </c>
      <c r="O41" s="136">
        <f t="shared" si="13"/>
        <v>0</v>
      </c>
      <c r="P41" s="7"/>
      <c r="Q41" s="134"/>
      <c r="R41" s="135">
        <f t="shared" si="14"/>
        <v>0</v>
      </c>
      <c r="S41" s="136">
        <f t="shared" si="15"/>
        <v>0</v>
      </c>
      <c r="T41" s="7"/>
      <c r="U41" s="134"/>
      <c r="V41" s="135">
        <f t="shared" si="16"/>
        <v>0</v>
      </c>
      <c r="W41" s="136">
        <f t="shared" si="17"/>
        <v>0</v>
      </c>
      <c r="X41" s="7"/>
      <c r="Y41" s="134"/>
      <c r="Z41" s="135">
        <f t="shared" si="18"/>
        <v>0</v>
      </c>
      <c r="AA41" s="136">
        <f t="shared" si="19"/>
        <v>0</v>
      </c>
      <c r="AB41" s="124"/>
      <c r="AC41" s="124"/>
      <c r="AD41" s="122"/>
      <c r="AE41" s="122"/>
    </row>
    <row r="42" spans="1:31" ht="15.75" customHeight="1" x14ac:dyDescent="0.25">
      <c r="A42" s="123"/>
      <c r="B42" s="123"/>
      <c r="C42" s="140" t="s">
        <v>198</v>
      </c>
      <c r="D42" s="79"/>
      <c r="E42" s="126">
        <f>SUM(E27:E41)</f>
        <v>1</v>
      </c>
      <c r="F42" s="141"/>
      <c r="G42" s="142">
        <f>SUM(G27:G41)</f>
        <v>73250</v>
      </c>
      <c r="H42" s="3"/>
      <c r="I42" s="126">
        <f>SUM(I27:I41)</f>
        <v>12</v>
      </c>
      <c r="J42" s="141"/>
      <c r="K42" s="142">
        <f>SUM(K27:K41)</f>
        <v>545000</v>
      </c>
      <c r="L42" s="3"/>
      <c r="M42" s="126">
        <f>SUM(M27:M41)</f>
        <v>16</v>
      </c>
      <c r="N42" s="141"/>
      <c r="O42" s="142">
        <f>SUM(O27:O41)</f>
        <v>726150</v>
      </c>
      <c r="P42" s="3"/>
      <c r="Q42" s="126">
        <f>SUM(Q27:Q41)</f>
        <v>19</v>
      </c>
      <c r="R42" s="141"/>
      <c r="S42" s="142">
        <f>SUM(S27:S41)</f>
        <v>864633.5</v>
      </c>
      <c r="T42" s="3"/>
      <c r="U42" s="126">
        <f>SUM(U27:U41)</f>
        <v>20</v>
      </c>
      <c r="V42" s="141"/>
      <c r="W42" s="142">
        <f>SUM(W27:W41)</f>
        <v>956136.12499999977</v>
      </c>
      <c r="X42" s="3"/>
      <c r="Y42" s="126">
        <f>SUM(Y27:Y41)</f>
        <v>21</v>
      </c>
      <c r="Z42" s="141"/>
      <c r="AA42" s="142">
        <f>SUM(AA27:AA41)</f>
        <v>1018585.47305</v>
      </c>
      <c r="AB42" s="124"/>
      <c r="AC42" s="124"/>
      <c r="AD42" s="122"/>
      <c r="AE42" s="122"/>
    </row>
    <row r="43" spans="1:31" ht="15.75" customHeight="1" x14ac:dyDescent="0.25">
      <c r="A43" s="123"/>
      <c r="B43" s="123"/>
      <c r="C43" s="144"/>
      <c r="D43" s="79"/>
      <c r="E43" s="146"/>
      <c r="F43" s="5"/>
      <c r="G43" s="147">
        <f>SUM(G24,G42)</f>
        <v>73250</v>
      </c>
      <c r="H43" s="3"/>
      <c r="I43" s="146"/>
      <c r="J43" s="56"/>
      <c r="K43" s="148">
        <f>SUM(K24,K42)</f>
        <v>1625000</v>
      </c>
      <c r="L43" s="3"/>
      <c r="M43" s="146"/>
      <c r="N43" s="56"/>
      <c r="O43" s="147">
        <f>SUM(O24,O42)</f>
        <v>2023950</v>
      </c>
      <c r="P43" s="6"/>
      <c r="Q43" s="146"/>
      <c r="R43" s="56"/>
      <c r="S43" s="147">
        <f>SUM(S24,S42)</f>
        <v>2344589</v>
      </c>
      <c r="T43" s="3"/>
      <c r="U43" s="146"/>
      <c r="V43" s="56"/>
      <c r="W43" s="147">
        <f>SUM(W24,W42)</f>
        <v>2726353.8650000002</v>
      </c>
      <c r="X43" s="3"/>
      <c r="Y43" s="146"/>
      <c r="Z43" s="7"/>
      <c r="AA43" s="147">
        <f>SUM(AA24,AA42)</f>
        <v>2993853.4346000007</v>
      </c>
      <c r="AB43" s="124"/>
      <c r="AC43" s="124"/>
      <c r="AD43" s="122"/>
      <c r="AE43" s="122"/>
    </row>
    <row r="44" spans="1:31" ht="15.75" customHeight="1" x14ac:dyDescent="0.25">
      <c r="A44" s="123"/>
      <c r="B44" s="123"/>
      <c r="C44" s="149"/>
      <c r="D44" s="3"/>
      <c r="E44" s="150"/>
      <c r="F44" s="130" t="s">
        <v>199</v>
      </c>
      <c r="G44" s="126" t="s">
        <v>168</v>
      </c>
      <c r="H44" s="3"/>
      <c r="I44" s="150"/>
      <c r="J44" s="130" t="s">
        <v>199</v>
      </c>
      <c r="K44" s="126" t="s">
        <v>168</v>
      </c>
      <c r="L44" s="3"/>
      <c r="M44" s="150"/>
      <c r="N44" s="130" t="s">
        <v>199</v>
      </c>
      <c r="O44" s="126" t="s">
        <v>168</v>
      </c>
      <c r="P44" s="3"/>
      <c r="Q44" s="150"/>
      <c r="R44" s="130" t="s">
        <v>199</v>
      </c>
      <c r="S44" s="126" t="s">
        <v>168</v>
      </c>
      <c r="T44" s="3"/>
      <c r="U44" s="150"/>
      <c r="V44" s="130" t="s">
        <v>199</v>
      </c>
      <c r="W44" s="126" t="s">
        <v>168</v>
      </c>
      <c r="X44" s="3"/>
      <c r="Y44" s="150"/>
      <c r="Z44" s="130" t="s">
        <v>199</v>
      </c>
      <c r="AA44" s="130" t="s">
        <v>168</v>
      </c>
      <c r="AB44" s="124"/>
      <c r="AC44" s="124"/>
      <c r="AD44" s="122"/>
      <c r="AE44" s="122"/>
    </row>
    <row r="45" spans="1:31" ht="15.75" customHeight="1" x14ac:dyDescent="0.25">
      <c r="A45" s="123"/>
      <c r="B45" s="123"/>
      <c r="C45" s="131" t="s">
        <v>200</v>
      </c>
      <c r="D45" s="132"/>
      <c r="E45" s="8"/>
      <c r="F45" s="56"/>
      <c r="G45" s="151"/>
      <c r="H45" s="7"/>
      <c r="I45" s="8"/>
      <c r="J45" s="7"/>
      <c r="K45" s="49"/>
      <c r="L45" s="7"/>
      <c r="M45" s="8"/>
      <c r="N45" s="7"/>
      <c r="O45" s="49"/>
      <c r="P45" s="7"/>
      <c r="Q45" s="8"/>
      <c r="R45" s="7"/>
      <c r="S45" s="49"/>
      <c r="T45" s="7"/>
      <c r="U45" s="8"/>
      <c r="V45" s="7"/>
      <c r="W45" s="49"/>
      <c r="X45" s="7"/>
      <c r="Y45" s="8"/>
      <c r="Z45" s="7"/>
      <c r="AA45" s="49"/>
      <c r="AB45" s="124"/>
      <c r="AC45" s="124"/>
      <c r="AD45" s="122"/>
      <c r="AE45" s="122"/>
    </row>
    <row r="46" spans="1:31" ht="15.75" customHeight="1" x14ac:dyDescent="0.25">
      <c r="A46" s="123"/>
      <c r="B46" s="123"/>
      <c r="C46" s="152" t="s">
        <v>201</v>
      </c>
      <c r="D46" s="45"/>
      <c r="E46" s="153"/>
      <c r="F46" s="154">
        <v>7800</v>
      </c>
      <c r="G46" s="155">
        <f>(E24+E42)*F46</f>
        <v>7800</v>
      </c>
      <c r="H46" s="7"/>
      <c r="I46" s="153"/>
      <c r="J46" s="156">
        <v>7800</v>
      </c>
      <c r="K46" s="157">
        <f>(I24+I42)*J46</f>
        <v>280800</v>
      </c>
      <c r="L46" s="7"/>
      <c r="M46" s="153"/>
      <c r="N46" s="156">
        <v>7800</v>
      </c>
      <c r="O46" s="157">
        <f>(M24+M42)*N46</f>
        <v>343200</v>
      </c>
      <c r="P46" s="7"/>
      <c r="Q46" s="153"/>
      <c r="R46" s="156">
        <v>7800</v>
      </c>
      <c r="S46" s="157">
        <f>(Q24+Q42)*R46</f>
        <v>390000</v>
      </c>
      <c r="T46" s="7"/>
      <c r="U46" s="153"/>
      <c r="V46" s="156">
        <v>7800</v>
      </c>
      <c r="W46" s="157">
        <f>(U24+U42)*V46</f>
        <v>436800</v>
      </c>
      <c r="X46" s="7"/>
      <c r="Y46" s="153"/>
      <c r="Z46" s="156">
        <v>7800</v>
      </c>
      <c r="AA46" s="157">
        <f>(Y24+Y42)*Z46</f>
        <v>468000</v>
      </c>
      <c r="AB46" s="124"/>
      <c r="AC46" s="124"/>
      <c r="AD46" s="122"/>
      <c r="AE46" s="122"/>
    </row>
    <row r="47" spans="1:31" ht="15.75" customHeight="1" x14ac:dyDescent="0.25">
      <c r="A47" s="123"/>
      <c r="B47" s="123"/>
      <c r="C47" s="152" t="s">
        <v>202</v>
      </c>
      <c r="D47" s="45"/>
      <c r="E47" s="153"/>
      <c r="F47" s="158">
        <v>0.06</v>
      </c>
      <c r="G47" s="155">
        <f t="shared" ref="G47:G50" si="20">G$43*F47</f>
        <v>4395</v>
      </c>
      <c r="H47" s="7"/>
      <c r="I47" s="153"/>
      <c r="J47" s="158">
        <v>0.06</v>
      </c>
      <c r="K47" s="155">
        <f t="shared" ref="K47:K50" si="21">K$43*J47</f>
        <v>97500</v>
      </c>
      <c r="L47" s="7"/>
      <c r="M47" s="153"/>
      <c r="N47" s="158">
        <v>0.06</v>
      </c>
      <c r="O47" s="155">
        <f t="shared" ref="O47:O50" si="22">O$43*N47</f>
        <v>121437</v>
      </c>
      <c r="P47" s="7"/>
      <c r="Q47" s="153"/>
      <c r="R47" s="158">
        <v>0.06</v>
      </c>
      <c r="S47" s="155">
        <f t="shared" ref="S47:S50" si="23">S$43*R47</f>
        <v>140675.34</v>
      </c>
      <c r="T47" s="7"/>
      <c r="U47" s="153"/>
      <c r="V47" s="158">
        <v>0.06</v>
      </c>
      <c r="W47" s="155">
        <f t="shared" ref="W47:W50" si="24">W$43*V47</f>
        <v>163581.23190000001</v>
      </c>
      <c r="X47" s="7"/>
      <c r="Y47" s="153"/>
      <c r="Z47" s="158">
        <v>0.06</v>
      </c>
      <c r="AA47" s="155">
        <f t="shared" ref="AA47:AA50" si="25">AA$43*Z47</f>
        <v>179631.20607600003</v>
      </c>
      <c r="AB47" s="124"/>
      <c r="AC47" s="124"/>
      <c r="AD47" s="122"/>
      <c r="AE47" s="122"/>
    </row>
    <row r="48" spans="1:31" ht="15.75" customHeight="1" x14ac:dyDescent="0.25">
      <c r="A48" s="123"/>
      <c r="B48" s="123"/>
      <c r="C48" s="152" t="s">
        <v>203</v>
      </c>
      <c r="D48" s="45"/>
      <c r="E48" s="153"/>
      <c r="F48" s="159">
        <v>6.2E-2</v>
      </c>
      <c r="G48" s="155">
        <f t="shared" si="20"/>
        <v>4541.5</v>
      </c>
      <c r="H48" s="7"/>
      <c r="I48" s="153"/>
      <c r="J48" s="159">
        <v>6.2E-2</v>
      </c>
      <c r="K48" s="155">
        <f t="shared" si="21"/>
        <v>100750</v>
      </c>
      <c r="L48" s="7"/>
      <c r="M48" s="153"/>
      <c r="N48" s="159">
        <v>6.2E-2</v>
      </c>
      <c r="O48" s="155">
        <f t="shared" si="22"/>
        <v>125484.9</v>
      </c>
      <c r="P48" s="7"/>
      <c r="Q48" s="153"/>
      <c r="R48" s="159">
        <v>6.2E-2</v>
      </c>
      <c r="S48" s="155">
        <f t="shared" si="23"/>
        <v>145364.51800000001</v>
      </c>
      <c r="T48" s="7"/>
      <c r="U48" s="153"/>
      <c r="V48" s="159">
        <v>6.2E-2</v>
      </c>
      <c r="W48" s="155">
        <f t="shared" si="24"/>
        <v>169033.93963000001</v>
      </c>
      <c r="X48" s="7"/>
      <c r="Y48" s="153"/>
      <c r="Z48" s="159">
        <v>6.2E-2</v>
      </c>
      <c r="AA48" s="155">
        <f t="shared" si="25"/>
        <v>185618.91294520005</v>
      </c>
      <c r="AB48" s="124"/>
      <c r="AC48" s="124"/>
      <c r="AD48" s="122"/>
      <c r="AE48" s="122"/>
    </row>
    <row r="49" spans="1:31" ht="15.75" customHeight="1" x14ac:dyDescent="0.25">
      <c r="A49" s="123"/>
      <c r="B49" s="123"/>
      <c r="C49" s="152" t="s">
        <v>204</v>
      </c>
      <c r="D49" s="45"/>
      <c r="E49" s="153"/>
      <c r="F49" s="159">
        <v>1.4500000000000001E-2</v>
      </c>
      <c r="G49" s="155">
        <f t="shared" si="20"/>
        <v>1062.125</v>
      </c>
      <c r="H49" s="7"/>
      <c r="I49" s="153"/>
      <c r="J49" s="159">
        <v>1.4500000000000001E-2</v>
      </c>
      <c r="K49" s="155">
        <f t="shared" si="21"/>
        <v>23562.5</v>
      </c>
      <c r="L49" s="7"/>
      <c r="M49" s="153"/>
      <c r="N49" s="159">
        <v>1.4500000000000001E-2</v>
      </c>
      <c r="O49" s="155">
        <f t="shared" si="22"/>
        <v>29347.275000000001</v>
      </c>
      <c r="P49" s="7"/>
      <c r="Q49" s="153"/>
      <c r="R49" s="159">
        <v>1.4500000000000001E-2</v>
      </c>
      <c r="S49" s="155">
        <f t="shared" si="23"/>
        <v>33996.540500000003</v>
      </c>
      <c r="T49" s="7"/>
      <c r="U49" s="153"/>
      <c r="V49" s="159">
        <v>1.4500000000000001E-2</v>
      </c>
      <c r="W49" s="155">
        <f t="shared" si="24"/>
        <v>39532.131042500005</v>
      </c>
      <c r="X49" s="7"/>
      <c r="Y49" s="153"/>
      <c r="Z49" s="159">
        <v>1.4500000000000001E-2</v>
      </c>
      <c r="AA49" s="155">
        <f t="shared" si="25"/>
        <v>43410.874801700011</v>
      </c>
      <c r="AB49" s="124"/>
      <c r="AC49" s="124"/>
      <c r="AD49" s="122"/>
      <c r="AE49" s="122"/>
    </row>
    <row r="50" spans="1:31" ht="15.75" customHeight="1" x14ac:dyDescent="0.25">
      <c r="A50" s="123"/>
      <c r="B50" s="123"/>
      <c r="C50" s="152" t="s">
        <v>205</v>
      </c>
      <c r="D50" s="45"/>
      <c r="E50" s="153"/>
      <c r="F50" s="159">
        <v>2.5000000000000001E-2</v>
      </c>
      <c r="G50" s="155">
        <f t="shared" si="20"/>
        <v>1831.25</v>
      </c>
      <c r="H50" s="7"/>
      <c r="I50" s="153"/>
      <c r="J50" s="159">
        <v>2.5000000000000001E-2</v>
      </c>
      <c r="K50" s="155">
        <f t="shared" si="21"/>
        <v>40625</v>
      </c>
      <c r="L50" s="7"/>
      <c r="M50" s="153"/>
      <c r="N50" s="159">
        <v>2.5000000000000001E-2</v>
      </c>
      <c r="O50" s="155">
        <f t="shared" si="22"/>
        <v>50598.75</v>
      </c>
      <c r="P50" s="7"/>
      <c r="Q50" s="153"/>
      <c r="R50" s="159">
        <v>2.5000000000000001E-2</v>
      </c>
      <c r="S50" s="155">
        <f t="shared" si="23"/>
        <v>58614.725000000006</v>
      </c>
      <c r="T50" s="7"/>
      <c r="U50" s="153"/>
      <c r="V50" s="159">
        <v>2.5000000000000001E-2</v>
      </c>
      <c r="W50" s="155">
        <f t="shared" si="24"/>
        <v>68158.846625000006</v>
      </c>
      <c r="X50" s="7"/>
      <c r="Y50" s="153"/>
      <c r="Z50" s="159">
        <v>2.5000000000000001E-2</v>
      </c>
      <c r="AA50" s="155">
        <f t="shared" si="25"/>
        <v>74846.335865000015</v>
      </c>
      <c r="AB50" s="124"/>
      <c r="AC50" s="124"/>
      <c r="AD50" s="122"/>
      <c r="AE50" s="122"/>
    </row>
    <row r="51" spans="1:31" ht="15.75" customHeight="1" x14ac:dyDescent="0.25">
      <c r="A51" s="123"/>
      <c r="B51" s="123"/>
      <c r="C51" s="152"/>
      <c r="D51" s="45"/>
      <c r="E51" s="8"/>
      <c r="F51" s="7"/>
      <c r="G51" s="56"/>
      <c r="H51" s="7"/>
      <c r="I51" s="8"/>
      <c r="J51" s="7"/>
      <c r="K51" s="56"/>
      <c r="L51" s="7"/>
      <c r="M51" s="8"/>
      <c r="N51" s="7"/>
      <c r="O51" s="56"/>
      <c r="P51" s="7"/>
      <c r="Q51" s="8"/>
      <c r="R51" s="7"/>
      <c r="S51" s="56"/>
      <c r="T51" s="7"/>
      <c r="U51" s="8"/>
      <c r="V51" s="7"/>
      <c r="W51" s="56"/>
      <c r="X51" s="7"/>
      <c r="Y51" s="8"/>
      <c r="Z51" s="7"/>
      <c r="AA51" s="56"/>
      <c r="AB51" s="124"/>
      <c r="AC51" s="124"/>
      <c r="AD51" s="122"/>
      <c r="AE51" s="122"/>
    </row>
    <row r="52" spans="1:31" ht="15.75" customHeight="1" x14ac:dyDescent="0.25">
      <c r="A52" s="123"/>
      <c r="B52" s="123"/>
      <c r="C52" s="152" t="s">
        <v>206</v>
      </c>
      <c r="D52" s="45"/>
      <c r="E52" s="15"/>
      <c r="F52" s="151"/>
      <c r="G52" s="154" t="s">
        <v>94</v>
      </c>
      <c r="H52" s="7"/>
      <c r="I52" s="15"/>
      <c r="J52" s="151"/>
      <c r="K52" s="154" t="s">
        <v>94</v>
      </c>
      <c r="L52" s="7"/>
      <c r="M52" s="15"/>
      <c r="N52" s="151"/>
      <c r="O52" s="154" t="s">
        <v>94</v>
      </c>
      <c r="P52" s="7"/>
      <c r="Q52" s="15"/>
      <c r="R52" s="151"/>
      <c r="S52" s="154" t="s">
        <v>94</v>
      </c>
      <c r="T52" s="7"/>
      <c r="U52" s="15"/>
      <c r="V52" s="151"/>
      <c r="W52" s="154" t="s">
        <v>94</v>
      </c>
      <c r="X52" s="7"/>
      <c r="Y52" s="15"/>
      <c r="Z52" s="151"/>
      <c r="AA52" s="154" t="s">
        <v>94</v>
      </c>
      <c r="AB52" s="124"/>
      <c r="AC52" s="124"/>
      <c r="AD52" s="122"/>
      <c r="AE52" s="122"/>
    </row>
    <row r="53" spans="1:31" ht="15.75" customHeight="1" x14ac:dyDescent="0.25">
      <c r="A53" s="123"/>
      <c r="B53" s="160"/>
      <c r="C53" s="161"/>
      <c r="D53" s="161"/>
      <c r="E53" s="64"/>
      <c r="F53" s="5"/>
      <c r="G53" s="5"/>
      <c r="H53" s="5"/>
      <c r="I53" s="5"/>
      <c r="J53" s="5"/>
      <c r="K53" s="5"/>
      <c r="L53" s="5"/>
      <c r="M53" s="5"/>
      <c r="N53" s="5"/>
      <c r="O53" s="5"/>
      <c r="P53" s="5"/>
      <c r="Q53" s="5"/>
      <c r="R53" s="5"/>
      <c r="S53" s="5"/>
      <c r="T53" s="5"/>
      <c r="U53" s="5"/>
      <c r="V53" s="5"/>
      <c r="W53" s="5"/>
      <c r="X53" s="5"/>
      <c r="Y53" s="5"/>
      <c r="Z53" s="5"/>
      <c r="AA53" s="5"/>
      <c r="AB53" s="65"/>
      <c r="AC53" s="124"/>
      <c r="AD53" s="122"/>
      <c r="AE53" s="122"/>
    </row>
    <row r="54" spans="1:31" ht="15.75" customHeight="1" x14ac:dyDescent="0.25">
      <c r="A54" s="123"/>
      <c r="B54" s="45"/>
      <c r="C54" s="79"/>
      <c r="D54" s="79"/>
      <c r="E54" s="45"/>
      <c r="F54" s="3"/>
      <c r="G54" s="3"/>
      <c r="H54" s="3"/>
      <c r="I54" s="3"/>
      <c r="J54" s="3"/>
      <c r="K54" s="3"/>
      <c r="L54" s="3"/>
      <c r="M54" s="3"/>
      <c r="N54" s="3"/>
      <c r="O54" s="3"/>
      <c r="P54" s="3"/>
      <c r="Q54" s="3"/>
      <c r="R54" s="3"/>
      <c r="S54" s="3"/>
      <c r="T54" s="3"/>
      <c r="U54" s="3"/>
      <c r="V54" s="3"/>
      <c r="W54" s="3"/>
      <c r="X54" s="3"/>
      <c r="Y54" s="3"/>
      <c r="Z54" s="3"/>
      <c r="AA54" s="3"/>
      <c r="AB54" s="45"/>
      <c r="AC54" s="124"/>
      <c r="AD54" s="122"/>
      <c r="AE54" s="122"/>
    </row>
    <row r="55" spans="1:31" ht="15.75" customHeight="1" x14ac:dyDescent="0.25">
      <c r="A55" s="123"/>
      <c r="B55" s="120"/>
      <c r="C55" s="162"/>
      <c r="D55" s="162"/>
      <c r="E55" s="125"/>
      <c r="F55" s="46"/>
      <c r="G55" s="46"/>
      <c r="H55" s="46"/>
      <c r="I55" s="46"/>
      <c r="J55" s="46"/>
      <c r="K55" s="46"/>
      <c r="L55" s="46"/>
      <c r="M55" s="46"/>
      <c r="N55" s="46"/>
      <c r="O55" s="46"/>
      <c r="P55" s="46"/>
      <c r="Q55" s="46"/>
      <c r="R55" s="46"/>
      <c r="S55" s="46"/>
      <c r="T55" s="46"/>
      <c r="U55" s="46"/>
      <c r="V55" s="46"/>
      <c r="W55" s="46"/>
      <c r="X55" s="46"/>
      <c r="Y55" s="46"/>
      <c r="Z55" s="46"/>
      <c r="AA55" s="46"/>
      <c r="AB55" s="121"/>
      <c r="AC55" s="124"/>
      <c r="AD55" s="122"/>
      <c r="AE55" s="122"/>
    </row>
    <row r="56" spans="1:31" ht="15.75" customHeight="1" x14ac:dyDescent="0.25">
      <c r="A56" s="123"/>
      <c r="B56" s="123"/>
      <c r="C56" s="163" t="s">
        <v>207</v>
      </c>
      <c r="D56" s="79"/>
      <c r="E56" s="244" t="s">
        <v>165</v>
      </c>
      <c r="F56" s="220"/>
      <c r="G56" s="245"/>
      <c r="H56" s="45"/>
      <c r="I56" s="244" t="s">
        <v>6</v>
      </c>
      <c r="J56" s="220"/>
      <c r="K56" s="245"/>
      <c r="L56" s="45"/>
      <c r="M56" s="244" t="s">
        <v>7</v>
      </c>
      <c r="N56" s="220"/>
      <c r="O56" s="245"/>
      <c r="P56" s="45"/>
      <c r="Q56" s="244" t="s">
        <v>8</v>
      </c>
      <c r="R56" s="220"/>
      <c r="S56" s="245"/>
      <c r="T56" s="45"/>
      <c r="U56" s="244" t="s">
        <v>9</v>
      </c>
      <c r="V56" s="220"/>
      <c r="W56" s="245"/>
      <c r="X56" s="45"/>
      <c r="Y56" s="244" t="s">
        <v>10</v>
      </c>
      <c r="Z56" s="220"/>
      <c r="AA56" s="245"/>
      <c r="AB56" s="124"/>
      <c r="AC56" s="124"/>
      <c r="AD56" s="122"/>
      <c r="AE56" s="122"/>
    </row>
    <row r="57" spans="1:31" ht="15.75" customHeight="1" x14ac:dyDescent="0.25">
      <c r="A57" s="123"/>
      <c r="B57" s="123"/>
      <c r="C57" s="79"/>
      <c r="D57" s="79"/>
      <c r="E57" s="145" t="s">
        <v>208</v>
      </c>
      <c r="F57" s="79"/>
      <c r="G57" s="4">
        <f>E24+E42</f>
        <v>1</v>
      </c>
      <c r="H57" s="79"/>
      <c r="I57" s="145" t="s">
        <v>208</v>
      </c>
      <c r="J57" s="79"/>
      <c r="K57" s="4">
        <f>I24+I42</f>
        <v>36</v>
      </c>
      <c r="L57" s="79"/>
      <c r="M57" s="145" t="s">
        <v>208</v>
      </c>
      <c r="N57" s="79"/>
      <c r="O57" s="4">
        <f>M24+M42</f>
        <v>44</v>
      </c>
      <c r="P57" s="79"/>
      <c r="Q57" s="145" t="s">
        <v>208</v>
      </c>
      <c r="R57" s="79"/>
      <c r="S57" s="4">
        <f>Q24+Q42</f>
        <v>50</v>
      </c>
      <c r="T57" s="79"/>
      <c r="U57" s="145" t="s">
        <v>208</v>
      </c>
      <c r="V57" s="79"/>
      <c r="W57" s="4">
        <f>U24+U42</f>
        <v>56</v>
      </c>
      <c r="X57" s="79"/>
      <c r="Y57" s="145" t="s">
        <v>208</v>
      </c>
      <c r="Z57" s="79"/>
      <c r="AA57" s="4">
        <f>Y24+Y42</f>
        <v>60</v>
      </c>
      <c r="AB57" s="137"/>
      <c r="AC57" s="164"/>
      <c r="AD57" s="138"/>
      <c r="AE57" s="138"/>
    </row>
    <row r="58" spans="1:31" ht="15.75" customHeight="1" x14ac:dyDescent="0.25">
      <c r="A58" s="123"/>
      <c r="B58" s="123"/>
      <c r="C58" s="79"/>
      <c r="D58" s="79"/>
      <c r="E58" s="246" t="s">
        <v>209</v>
      </c>
      <c r="F58" s="213"/>
      <c r="G58" s="165">
        <f>G24+G42</f>
        <v>73250</v>
      </c>
      <c r="H58" s="45"/>
      <c r="I58" s="246" t="s">
        <v>209</v>
      </c>
      <c r="J58" s="213"/>
      <c r="K58" s="165">
        <f>K24+K42</f>
        <v>1625000</v>
      </c>
      <c r="L58" s="45"/>
      <c r="M58" s="246" t="s">
        <v>209</v>
      </c>
      <c r="N58" s="213"/>
      <c r="O58" s="165">
        <f>O24+O42</f>
        <v>2023950</v>
      </c>
      <c r="P58" s="45"/>
      <c r="Q58" s="246" t="s">
        <v>209</v>
      </c>
      <c r="R58" s="213"/>
      <c r="S58" s="165">
        <f>S24+S42</f>
        <v>2344589</v>
      </c>
      <c r="T58" s="45"/>
      <c r="U58" s="246" t="s">
        <v>209</v>
      </c>
      <c r="V58" s="213"/>
      <c r="W58" s="165">
        <f>W24+W42</f>
        <v>2726353.8650000002</v>
      </c>
      <c r="X58" s="45"/>
      <c r="Y58" s="246" t="s">
        <v>209</v>
      </c>
      <c r="Z58" s="213"/>
      <c r="AA58" s="165">
        <f>AA24+AA42</f>
        <v>2993853.4346000007</v>
      </c>
      <c r="AB58" s="124"/>
      <c r="AC58" s="124"/>
      <c r="AD58" s="122"/>
      <c r="AE58" s="122"/>
    </row>
    <row r="59" spans="1:31" ht="15.75" customHeight="1" x14ac:dyDescent="0.25">
      <c r="A59" s="123"/>
      <c r="B59" s="123"/>
      <c r="C59" s="79"/>
      <c r="D59" s="79"/>
      <c r="E59" s="246" t="s">
        <v>210</v>
      </c>
      <c r="F59" s="213"/>
      <c r="G59" s="166">
        <f>SUM(G46:G50)</f>
        <v>19629.875</v>
      </c>
      <c r="H59" s="45"/>
      <c r="I59" s="246" t="s">
        <v>210</v>
      </c>
      <c r="J59" s="213"/>
      <c r="K59" s="166">
        <f>SUM(K46:K50)</f>
        <v>543237.5</v>
      </c>
      <c r="L59" s="45"/>
      <c r="M59" s="246" t="s">
        <v>210</v>
      </c>
      <c r="N59" s="213"/>
      <c r="O59" s="166">
        <f>SUM(O46:O50)</f>
        <v>670067.92500000005</v>
      </c>
      <c r="P59" s="45"/>
      <c r="Q59" s="246" t="s">
        <v>210</v>
      </c>
      <c r="R59" s="213"/>
      <c r="S59" s="166">
        <f>SUM(S46:S50)</f>
        <v>768651.12349999999</v>
      </c>
      <c r="T59" s="45"/>
      <c r="U59" s="246" t="s">
        <v>210</v>
      </c>
      <c r="V59" s="213"/>
      <c r="W59" s="166">
        <f>SUM(W46:W50)</f>
        <v>877106.14919750008</v>
      </c>
      <c r="X59" s="45"/>
      <c r="Y59" s="246" t="s">
        <v>210</v>
      </c>
      <c r="Z59" s="213"/>
      <c r="AA59" s="166">
        <f>SUM(AA46:AA50)</f>
        <v>951507.32968790014</v>
      </c>
      <c r="AB59" s="124"/>
      <c r="AC59" s="124"/>
      <c r="AD59" s="122"/>
      <c r="AE59" s="122"/>
    </row>
    <row r="60" spans="1:31" ht="15.75" customHeight="1" x14ac:dyDescent="0.25">
      <c r="A60" s="123"/>
      <c r="B60" s="123"/>
      <c r="C60" s="79"/>
      <c r="D60" s="79"/>
      <c r="E60" s="246" t="s">
        <v>211</v>
      </c>
      <c r="F60" s="213"/>
      <c r="G60" s="166">
        <f>SUM(G58:G59)</f>
        <v>92879.875</v>
      </c>
      <c r="H60" s="45"/>
      <c r="I60" s="246" t="s">
        <v>211</v>
      </c>
      <c r="J60" s="213"/>
      <c r="K60" s="166">
        <f>K59+K58</f>
        <v>2168237.5</v>
      </c>
      <c r="L60" s="45"/>
      <c r="M60" s="246" t="s">
        <v>211</v>
      </c>
      <c r="N60" s="213"/>
      <c r="O60" s="166">
        <f>O59+O58</f>
        <v>2694017.9249999998</v>
      </c>
      <c r="P60" s="45"/>
      <c r="Q60" s="246" t="s">
        <v>211</v>
      </c>
      <c r="R60" s="213"/>
      <c r="S60" s="166">
        <f>S59+S58</f>
        <v>3113240.1234999998</v>
      </c>
      <c r="T60" s="45"/>
      <c r="U60" s="246" t="s">
        <v>211</v>
      </c>
      <c r="V60" s="213"/>
      <c r="W60" s="166">
        <f>W59+W58</f>
        <v>3603460.0141975004</v>
      </c>
      <c r="X60" s="45"/>
      <c r="Y60" s="246" t="s">
        <v>211</v>
      </c>
      <c r="Z60" s="213"/>
      <c r="AA60" s="166">
        <f>AA59+AA58</f>
        <v>3945360.7642879011</v>
      </c>
      <c r="AB60" s="124"/>
      <c r="AC60" s="124"/>
      <c r="AD60" s="122"/>
      <c r="AE60" s="122"/>
    </row>
    <row r="61" spans="1:31" ht="15.75" customHeight="1" x14ac:dyDescent="0.25">
      <c r="A61" s="123"/>
      <c r="B61" s="123"/>
      <c r="C61" s="45"/>
      <c r="D61" s="79"/>
      <c r="E61" s="246" t="s">
        <v>212</v>
      </c>
      <c r="F61" s="213"/>
      <c r="G61" s="4" t="s">
        <v>28</v>
      </c>
      <c r="H61" s="7"/>
      <c r="I61" s="246" t="s">
        <v>212</v>
      </c>
      <c r="J61" s="213"/>
      <c r="K61" s="167">
        <f>'Enrollment Projections'!D27/I24</f>
        <v>15.666666666666666</v>
      </c>
      <c r="L61" s="7"/>
      <c r="M61" s="246" t="s">
        <v>212</v>
      </c>
      <c r="N61" s="213"/>
      <c r="O61" s="167">
        <f>'Enrollment Projections'!E27/M24</f>
        <v>15.357142857142858</v>
      </c>
      <c r="P61" s="7"/>
      <c r="Q61" s="246" t="s">
        <v>212</v>
      </c>
      <c r="R61" s="213"/>
      <c r="S61" s="167">
        <f>'Enrollment Projections'!F27/Q24</f>
        <v>15.67741935483871</v>
      </c>
      <c r="T61" s="7"/>
      <c r="U61" s="246" t="s">
        <v>212</v>
      </c>
      <c r="V61" s="213"/>
      <c r="W61" s="167">
        <f>'Enrollment Projections'!G27/U24</f>
        <v>14.944444444444445</v>
      </c>
      <c r="X61" s="7"/>
      <c r="Y61" s="246" t="s">
        <v>212</v>
      </c>
      <c r="Z61" s="213"/>
      <c r="AA61" s="167">
        <f>'Enrollment Projections'!H27/Y24</f>
        <v>15.179487179487179</v>
      </c>
      <c r="AB61" s="124"/>
      <c r="AC61" s="124"/>
      <c r="AD61" s="122"/>
      <c r="AE61" s="122"/>
    </row>
    <row r="62" spans="1:31" ht="15.75" customHeight="1" x14ac:dyDescent="0.25">
      <c r="A62" s="123"/>
      <c r="B62" s="123"/>
      <c r="C62" s="45"/>
      <c r="D62" s="79"/>
      <c r="E62" s="247" t="s">
        <v>213</v>
      </c>
      <c r="F62" s="248"/>
      <c r="G62" s="6" t="s">
        <v>28</v>
      </c>
      <c r="H62" s="7"/>
      <c r="I62" s="247" t="s">
        <v>213</v>
      </c>
      <c r="J62" s="248"/>
      <c r="K62" s="168">
        <f>'Enrollment Projections'!D27/(I42+I24)</f>
        <v>10.444444444444445</v>
      </c>
      <c r="L62" s="7"/>
      <c r="M62" s="247" t="s">
        <v>213</v>
      </c>
      <c r="N62" s="248"/>
      <c r="O62" s="168">
        <f>'Enrollment Projections'!E27/(M42+M24)</f>
        <v>9.7727272727272734</v>
      </c>
      <c r="P62" s="7"/>
      <c r="Q62" s="247" t="s">
        <v>213</v>
      </c>
      <c r="R62" s="248"/>
      <c r="S62" s="168">
        <f>'Enrollment Projections'!F27/(Q42+Q24)</f>
        <v>9.7200000000000006</v>
      </c>
      <c r="T62" s="7"/>
      <c r="U62" s="247" t="s">
        <v>213</v>
      </c>
      <c r="V62" s="248"/>
      <c r="W62" s="168">
        <f>'Enrollment Projections'!G27/(U24+U42)</f>
        <v>9.6071428571428577</v>
      </c>
      <c r="X62" s="7"/>
      <c r="Y62" s="247" t="s">
        <v>213</v>
      </c>
      <c r="Z62" s="248"/>
      <c r="AA62" s="168">
        <f>'Enrollment Projections'!H27/(Y24+Y42)</f>
        <v>9.8666666666666671</v>
      </c>
      <c r="AB62" s="124"/>
      <c r="AC62" s="124"/>
      <c r="AD62" s="122"/>
      <c r="AE62" s="122"/>
    </row>
    <row r="63" spans="1:31" ht="15.75" customHeight="1" x14ac:dyDescent="0.25">
      <c r="A63" s="123"/>
      <c r="B63" s="160"/>
      <c r="C63" s="169"/>
      <c r="D63" s="169"/>
      <c r="E63" s="64"/>
      <c r="F63" s="64"/>
      <c r="G63" s="64"/>
      <c r="H63" s="64"/>
      <c r="I63" s="64"/>
      <c r="J63" s="64"/>
      <c r="K63" s="64"/>
      <c r="L63" s="64"/>
      <c r="M63" s="64"/>
      <c r="N63" s="64"/>
      <c r="O63" s="64"/>
      <c r="P63" s="64"/>
      <c r="Q63" s="64"/>
      <c r="R63" s="64"/>
      <c r="S63" s="64"/>
      <c r="T63" s="64"/>
      <c r="U63" s="64"/>
      <c r="V63" s="64"/>
      <c r="W63" s="64"/>
      <c r="X63" s="64"/>
      <c r="Y63" s="64"/>
      <c r="Z63" s="64"/>
      <c r="AA63" s="64"/>
      <c r="AB63" s="65"/>
      <c r="AC63" s="124"/>
      <c r="AD63" s="122"/>
      <c r="AE63" s="122"/>
    </row>
    <row r="64" spans="1:31" ht="15.75" customHeight="1" x14ac:dyDescent="0.25">
      <c r="A64" s="123"/>
      <c r="B64" s="45"/>
      <c r="C64" s="170"/>
      <c r="D64" s="170"/>
      <c r="E64" s="45"/>
      <c r="F64" s="45"/>
      <c r="G64" s="45"/>
      <c r="H64" s="45"/>
      <c r="I64" s="45"/>
      <c r="J64" s="45"/>
      <c r="K64" s="45"/>
      <c r="L64" s="45"/>
      <c r="M64" s="45"/>
      <c r="N64" s="45"/>
      <c r="O64" s="45"/>
      <c r="P64" s="45"/>
      <c r="Q64" s="45"/>
      <c r="R64" s="45"/>
      <c r="S64" s="45"/>
      <c r="T64" s="45"/>
      <c r="U64" s="45"/>
      <c r="V64" s="45"/>
      <c r="W64" s="45"/>
      <c r="X64" s="45"/>
      <c r="Y64" s="45"/>
      <c r="Z64" s="45"/>
      <c r="AA64" s="45"/>
      <c r="AB64" s="45"/>
      <c r="AC64" s="124"/>
      <c r="AD64" s="122"/>
      <c r="AE64" s="122"/>
    </row>
    <row r="65" spans="1:31" ht="15.75" customHeight="1" x14ac:dyDescent="0.25">
      <c r="A65" s="123"/>
      <c r="B65" s="249" t="s">
        <v>161</v>
      </c>
      <c r="C65" s="213"/>
      <c r="D65" s="213"/>
      <c r="E65" s="213"/>
      <c r="F65" s="213"/>
      <c r="G65" s="213"/>
      <c r="H65" s="213"/>
      <c r="I65" s="213"/>
      <c r="J65" s="213"/>
      <c r="K65" s="213"/>
      <c r="L65" s="213"/>
      <c r="M65" s="213"/>
      <c r="N65" s="213"/>
      <c r="O65" s="213"/>
      <c r="P65" s="213"/>
      <c r="Q65" s="213"/>
      <c r="R65" s="45"/>
      <c r="S65" s="45"/>
      <c r="T65" s="45"/>
      <c r="U65" s="45"/>
      <c r="V65" s="45"/>
      <c r="W65" s="45"/>
      <c r="X65" s="45"/>
      <c r="Y65" s="45"/>
      <c r="Z65" s="45"/>
      <c r="AA65" s="45"/>
      <c r="AB65" s="45"/>
      <c r="AC65" s="124"/>
      <c r="AD65" s="122"/>
      <c r="AE65" s="122"/>
    </row>
    <row r="66" spans="1:31" ht="15.75" customHeight="1" x14ac:dyDescent="0.25">
      <c r="A66" s="123"/>
      <c r="B66" s="250"/>
      <c r="C66" s="251"/>
      <c r="D66" s="251"/>
      <c r="E66" s="251"/>
      <c r="F66" s="251"/>
      <c r="G66" s="251"/>
      <c r="H66" s="251"/>
      <c r="I66" s="251"/>
      <c r="J66" s="251"/>
      <c r="K66" s="251"/>
      <c r="L66" s="251"/>
      <c r="M66" s="251"/>
      <c r="N66" s="251"/>
      <c r="O66" s="251"/>
      <c r="P66" s="251"/>
      <c r="Q66" s="251"/>
      <c r="R66" s="251"/>
      <c r="S66" s="251"/>
      <c r="T66" s="251"/>
      <c r="U66" s="251"/>
      <c r="V66" s="251"/>
      <c r="W66" s="45"/>
      <c r="X66" s="45"/>
      <c r="Y66" s="45"/>
      <c r="Z66" s="45"/>
      <c r="AA66" s="45"/>
      <c r="AB66" s="45"/>
      <c r="AC66" s="124"/>
      <c r="AD66" s="122"/>
      <c r="AE66" s="122"/>
    </row>
    <row r="67" spans="1:31" ht="15.75" customHeight="1" x14ac:dyDescent="0.25">
      <c r="A67" s="123"/>
      <c r="B67" s="252"/>
      <c r="C67" s="216"/>
      <c r="D67" s="216"/>
      <c r="E67" s="216"/>
      <c r="F67" s="216"/>
      <c r="G67" s="216"/>
      <c r="H67" s="216"/>
      <c r="I67" s="216"/>
      <c r="J67" s="216"/>
      <c r="K67" s="216"/>
      <c r="L67" s="216"/>
      <c r="M67" s="216"/>
      <c r="N67" s="216"/>
      <c r="O67" s="216"/>
      <c r="P67" s="216"/>
      <c r="Q67" s="216"/>
      <c r="R67" s="216"/>
      <c r="S67" s="216"/>
      <c r="T67" s="216"/>
      <c r="U67" s="216"/>
      <c r="V67" s="216"/>
      <c r="W67" s="45"/>
      <c r="X67" s="45"/>
      <c r="Y67" s="45"/>
      <c r="Z67" s="45"/>
      <c r="AA67" s="45"/>
      <c r="AB67" s="45"/>
      <c r="AC67" s="124"/>
      <c r="AD67" s="122"/>
      <c r="AE67" s="122"/>
    </row>
    <row r="68" spans="1:31" ht="15.75" customHeight="1" x14ac:dyDescent="0.25">
      <c r="A68" s="123"/>
      <c r="B68" s="252"/>
      <c r="C68" s="216"/>
      <c r="D68" s="216"/>
      <c r="E68" s="216"/>
      <c r="F68" s="216"/>
      <c r="G68" s="216"/>
      <c r="H68" s="216"/>
      <c r="I68" s="216"/>
      <c r="J68" s="216"/>
      <c r="K68" s="216"/>
      <c r="L68" s="216"/>
      <c r="M68" s="216"/>
      <c r="N68" s="216"/>
      <c r="O68" s="216"/>
      <c r="P68" s="216"/>
      <c r="Q68" s="216"/>
      <c r="R68" s="216"/>
      <c r="S68" s="216"/>
      <c r="T68" s="216"/>
      <c r="U68" s="216"/>
      <c r="V68" s="216"/>
      <c r="W68" s="45"/>
      <c r="X68" s="45"/>
      <c r="Y68" s="45"/>
      <c r="Z68" s="45"/>
      <c r="AA68" s="45"/>
      <c r="AB68" s="45"/>
      <c r="AC68" s="124"/>
      <c r="AD68" s="122"/>
      <c r="AE68" s="122"/>
    </row>
    <row r="69" spans="1:31" ht="15.75" customHeight="1" x14ac:dyDescent="0.25">
      <c r="A69" s="123"/>
      <c r="B69" s="252"/>
      <c r="C69" s="216"/>
      <c r="D69" s="216"/>
      <c r="E69" s="216"/>
      <c r="F69" s="216"/>
      <c r="G69" s="216"/>
      <c r="H69" s="216"/>
      <c r="I69" s="216"/>
      <c r="J69" s="216"/>
      <c r="K69" s="216"/>
      <c r="L69" s="216"/>
      <c r="M69" s="216"/>
      <c r="N69" s="216"/>
      <c r="O69" s="216"/>
      <c r="P69" s="216"/>
      <c r="Q69" s="216"/>
      <c r="R69" s="216"/>
      <c r="S69" s="216"/>
      <c r="T69" s="216"/>
      <c r="U69" s="216"/>
      <c r="V69" s="216"/>
      <c r="W69" s="45"/>
      <c r="X69" s="45"/>
      <c r="Y69" s="45"/>
      <c r="Z69" s="45"/>
      <c r="AA69" s="45"/>
      <c r="AB69" s="45"/>
      <c r="AC69" s="124"/>
      <c r="AD69" s="122"/>
      <c r="AE69" s="122"/>
    </row>
    <row r="70" spans="1:31" ht="15.75" customHeight="1" x14ac:dyDescent="0.25">
      <c r="A70" s="123"/>
      <c r="B70" s="238" t="s">
        <v>214</v>
      </c>
      <c r="C70" s="213"/>
      <c r="D70" s="213"/>
      <c r="E70" s="213"/>
      <c r="F70" s="213"/>
      <c r="G70" s="213"/>
      <c r="H70" s="213"/>
      <c r="I70" s="213"/>
      <c r="J70" s="213"/>
      <c r="K70" s="213"/>
      <c r="L70" s="213"/>
      <c r="M70" s="213"/>
      <c r="N70" s="213"/>
      <c r="O70" s="213"/>
      <c r="P70" s="213"/>
      <c r="Q70" s="213"/>
      <c r="R70" s="213"/>
      <c r="S70" s="213"/>
      <c r="T70" s="213"/>
      <c r="U70" s="213"/>
      <c r="V70" s="213"/>
      <c r="W70" s="45"/>
      <c r="X70" s="45"/>
      <c r="Y70" s="45"/>
      <c r="Z70" s="45"/>
      <c r="AA70" s="45"/>
      <c r="AB70" s="45"/>
      <c r="AC70" s="124"/>
      <c r="AD70" s="122"/>
      <c r="AE70" s="122"/>
    </row>
    <row r="71" spans="1:31" ht="15.75" customHeight="1" x14ac:dyDescent="0.25">
      <c r="A71" s="123"/>
      <c r="B71" s="238" t="s">
        <v>215</v>
      </c>
      <c r="C71" s="213"/>
      <c r="D71" s="213"/>
      <c r="E71" s="213"/>
      <c r="F71" s="213"/>
      <c r="G71" s="213"/>
      <c r="H71" s="213"/>
      <c r="I71" s="213"/>
      <c r="J71" s="213"/>
      <c r="K71" s="213"/>
      <c r="L71" s="213"/>
      <c r="M71" s="213"/>
      <c r="N71" s="213"/>
      <c r="O71" s="213"/>
      <c r="P71" s="213"/>
      <c r="Q71" s="213"/>
      <c r="R71" s="213"/>
      <c r="S71" s="213"/>
      <c r="T71" s="213"/>
      <c r="U71" s="213"/>
      <c r="V71" s="213"/>
      <c r="W71" s="45"/>
      <c r="X71" s="45"/>
      <c r="Y71" s="45"/>
      <c r="Z71" s="45"/>
      <c r="AA71" s="45"/>
      <c r="AB71" s="45"/>
      <c r="AC71" s="124"/>
      <c r="AD71" s="122"/>
      <c r="AE71" s="122"/>
    </row>
    <row r="72" spans="1:31" ht="15.75" customHeight="1" x14ac:dyDescent="0.25">
      <c r="A72" s="123"/>
      <c r="B72" s="238" t="s">
        <v>216</v>
      </c>
      <c r="C72" s="213"/>
      <c r="D72" s="213"/>
      <c r="E72" s="213"/>
      <c r="F72" s="213"/>
      <c r="G72" s="213"/>
      <c r="H72" s="213"/>
      <c r="I72" s="213"/>
      <c r="J72" s="213"/>
      <c r="K72" s="213"/>
      <c r="L72" s="213"/>
      <c r="M72" s="213"/>
      <c r="N72" s="213"/>
      <c r="O72" s="213"/>
      <c r="P72" s="213"/>
      <c r="Q72" s="213"/>
      <c r="R72" s="213"/>
      <c r="S72" s="213"/>
      <c r="T72" s="213"/>
      <c r="U72" s="213"/>
      <c r="V72" s="213"/>
      <c r="W72" s="45"/>
      <c r="X72" s="45"/>
      <c r="Y72" s="45"/>
      <c r="Z72" s="45"/>
      <c r="AA72" s="45"/>
      <c r="AB72" s="45"/>
      <c r="AC72" s="124"/>
      <c r="AD72" s="122"/>
      <c r="AE72" s="122"/>
    </row>
    <row r="73" spans="1:31" ht="15.75" customHeight="1" x14ac:dyDescent="0.25">
      <c r="A73" s="123"/>
      <c r="B73" s="238" t="s">
        <v>217</v>
      </c>
      <c r="C73" s="213"/>
      <c r="D73" s="213"/>
      <c r="E73" s="213"/>
      <c r="F73" s="213"/>
      <c r="G73" s="213"/>
      <c r="H73" s="213"/>
      <c r="I73" s="213"/>
      <c r="J73" s="213"/>
      <c r="K73" s="213"/>
      <c r="L73" s="213"/>
      <c r="M73" s="213"/>
      <c r="N73" s="213"/>
      <c r="O73" s="213"/>
      <c r="P73" s="213"/>
      <c r="Q73" s="213"/>
      <c r="R73" s="213"/>
      <c r="S73" s="213"/>
      <c r="T73" s="213"/>
      <c r="U73" s="213"/>
      <c r="V73" s="213"/>
      <c r="W73" s="45"/>
      <c r="X73" s="45"/>
      <c r="Y73" s="45"/>
      <c r="Z73" s="45"/>
      <c r="AA73" s="45"/>
      <c r="AB73" s="45"/>
      <c r="AC73" s="124"/>
      <c r="AD73" s="122"/>
      <c r="AE73" s="122"/>
    </row>
    <row r="74" spans="1:31" ht="15.75" customHeight="1" x14ac:dyDescent="0.25">
      <c r="A74" s="160"/>
      <c r="B74" s="64" t="s">
        <v>218</v>
      </c>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5"/>
      <c r="AD74" s="122"/>
      <c r="AE74" s="122"/>
    </row>
    <row r="75" spans="1:31" ht="15.75" customHeight="1" x14ac:dyDescent="0.2"/>
    <row r="76" spans="1:31" ht="15.75" customHeight="1" x14ac:dyDescent="0.2"/>
    <row r="77" spans="1:31" ht="15.75" customHeight="1" x14ac:dyDescent="0.2"/>
    <row r="78" spans="1:31" ht="15.75" customHeight="1" x14ac:dyDescent="0.2"/>
    <row r="79" spans="1:31" ht="15.75" customHeight="1" x14ac:dyDescent="0.2"/>
    <row r="80" spans="1:31"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0">
    <mergeCell ref="B73:V73"/>
    <mergeCell ref="E59:F59"/>
    <mergeCell ref="E60:F60"/>
    <mergeCell ref="I60:J60"/>
    <mergeCell ref="E61:F61"/>
    <mergeCell ref="I61:J61"/>
    <mergeCell ref="E62:F62"/>
    <mergeCell ref="I62:J62"/>
    <mergeCell ref="B65:Q65"/>
    <mergeCell ref="B66:V69"/>
    <mergeCell ref="B70:V70"/>
    <mergeCell ref="B71:V71"/>
    <mergeCell ref="B72:V72"/>
    <mergeCell ref="Y61:Z61"/>
    <mergeCell ref="U62:V62"/>
    <mergeCell ref="Y62:Z62"/>
    <mergeCell ref="E58:F58"/>
    <mergeCell ref="I58:J58"/>
    <mergeCell ref="Q58:R58"/>
    <mergeCell ref="Y58:Z58"/>
    <mergeCell ref="I59:J59"/>
    <mergeCell ref="Q59:R59"/>
    <mergeCell ref="Y59:Z59"/>
    <mergeCell ref="M61:N61"/>
    <mergeCell ref="Q61:R61"/>
    <mergeCell ref="M62:N62"/>
    <mergeCell ref="Q62:R62"/>
    <mergeCell ref="U58:V58"/>
    <mergeCell ref="U59:V59"/>
    <mergeCell ref="U60:V60"/>
    <mergeCell ref="U61:V61"/>
    <mergeCell ref="Y56:AA56"/>
    <mergeCell ref="M58:N58"/>
    <mergeCell ref="M59:N59"/>
    <mergeCell ref="M60:N60"/>
    <mergeCell ref="Q60:R60"/>
    <mergeCell ref="Y60:Z60"/>
    <mergeCell ref="E56:G56"/>
    <mergeCell ref="I56:K56"/>
    <mergeCell ref="M56:O56"/>
    <mergeCell ref="Q56:S56"/>
    <mergeCell ref="U56:W56"/>
    <mergeCell ref="B1:AB1"/>
    <mergeCell ref="E2:F2"/>
    <mergeCell ref="I6:K6"/>
    <mergeCell ref="M6:O6"/>
    <mergeCell ref="Q6:S6"/>
    <mergeCell ref="U6:W6"/>
    <mergeCell ref="Y6:AA6"/>
    <mergeCell ref="E6:G6"/>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N1000"/>
  <sheetViews>
    <sheetView workbookViewId="0"/>
  </sheetViews>
  <sheetFormatPr defaultColWidth="12.5703125" defaultRowHeight="15" customHeight="1" x14ac:dyDescent="0.2"/>
  <cols>
    <col min="1" max="1" width="2.42578125" customWidth="1"/>
    <col min="2" max="2" width="3" customWidth="1"/>
    <col min="3" max="3" width="25.42578125" customWidth="1"/>
    <col min="4" max="4" width="29.85546875" customWidth="1"/>
    <col min="5" max="5" width="2.28515625" customWidth="1"/>
    <col min="6" max="11" width="15.42578125" customWidth="1"/>
    <col min="12" max="12" width="3.7109375" customWidth="1"/>
    <col min="13" max="13" width="36" customWidth="1"/>
    <col min="14" max="14" width="3.140625" customWidth="1"/>
  </cols>
  <sheetData>
    <row r="1" spans="1:14" ht="15.75" customHeight="1" x14ac:dyDescent="0.25">
      <c r="A1" s="42"/>
      <c r="B1" s="43"/>
      <c r="C1" s="43"/>
      <c r="D1" s="37"/>
      <c r="E1" s="37"/>
      <c r="F1" s="42"/>
      <c r="G1" s="42"/>
      <c r="H1" s="42"/>
      <c r="I1" s="42"/>
      <c r="J1" s="42"/>
      <c r="K1" s="3"/>
      <c r="L1" s="3"/>
      <c r="M1" s="3"/>
      <c r="N1" s="3"/>
    </row>
    <row r="2" spans="1:14" ht="15.75" customHeight="1" x14ac:dyDescent="0.3">
      <c r="A2" s="42"/>
      <c r="B2" s="171"/>
      <c r="C2" s="259" t="s">
        <v>219</v>
      </c>
      <c r="D2" s="220"/>
      <c r="E2" s="220"/>
      <c r="F2" s="220"/>
      <c r="G2" s="220"/>
      <c r="H2" s="220"/>
      <c r="I2" s="220"/>
      <c r="J2" s="220"/>
      <c r="K2" s="220"/>
      <c r="L2" s="220"/>
      <c r="M2" s="220"/>
      <c r="N2" s="48"/>
    </row>
    <row r="3" spans="1:14" ht="15.75" customHeight="1" x14ac:dyDescent="0.25">
      <c r="A3" s="42"/>
      <c r="B3" s="36"/>
      <c r="C3" s="37"/>
      <c r="D3" s="43"/>
      <c r="E3" s="43"/>
      <c r="F3" s="43"/>
      <c r="G3" s="37"/>
      <c r="H3" s="37"/>
      <c r="I3" s="37"/>
      <c r="J3" s="37"/>
      <c r="K3" s="37"/>
      <c r="L3" s="37"/>
      <c r="M3" s="172"/>
      <c r="N3" s="4"/>
    </row>
    <row r="4" spans="1:14" ht="15.75" customHeight="1" x14ac:dyDescent="0.25">
      <c r="A4" s="42"/>
      <c r="B4" s="145"/>
      <c r="C4" s="79" t="s">
        <v>47</v>
      </c>
      <c r="D4" s="44" t="s">
        <v>48</v>
      </c>
      <c r="E4" s="44"/>
      <c r="F4" s="43"/>
      <c r="G4" s="37"/>
      <c r="H4" s="37"/>
      <c r="I4" s="37"/>
      <c r="J4" s="37"/>
      <c r="K4" s="37"/>
      <c r="L4" s="37"/>
      <c r="M4" s="37"/>
      <c r="N4" s="4"/>
    </row>
    <row r="5" spans="1:14" ht="15.75" customHeight="1" x14ac:dyDescent="0.25">
      <c r="A5" s="42"/>
      <c r="B5" s="145"/>
      <c r="C5" s="79" t="s">
        <v>49</v>
      </c>
      <c r="D5" s="44">
        <v>2023</v>
      </c>
      <c r="E5" s="44"/>
      <c r="F5" s="43"/>
      <c r="G5" s="37"/>
      <c r="H5" s="37"/>
      <c r="I5" s="37"/>
      <c r="J5" s="37"/>
      <c r="K5" s="37"/>
      <c r="L5" s="37"/>
      <c r="M5" s="37"/>
      <c r="N5" s="4"/>
    </row>
    <row r="6" spans="1:14" ht="15.75" customHeight="1" x14ac:dyDescent="0.25">
      <c r="A6" s="42"/>
      <c r="B6" s="89"/>
      <c r="C6" s="43"/>
      <c r="D6" s="37"/>
      <c r="E6" s="37"/>
      <c r="F6" s="39"/>
      <c r="G6" s="39"/>
      <c r="H6" s="39"/>
      <c r="I6" s="39"/>
      <c r="J6" s="39"/>
      <c r="K6" s="39"/>
      <c r="L6" s="3"/>
      <c r="M6" s="3"/>
      <c r="N6" s="4"/>
    </row>
    <row r="7" spans="1:14" ht="15.75" customHeight="1" x14ac:dyDescent="0.25">
      <c r="A7" s="42"/>
      <c r="B7" s="89"/>
      <c r="C7" s="43"/>
      <c r="D7" s="37" t="s">
        <v>220</v>
      </c>
      <c r="E7" s="37"/>
      <c r="F7" s="39">
        <v>0</v>
      </c>
      <c r="G7" s="39">
        <f>'Enrollment Projections'!D27</f>
        <v>376</v>
      </c>
      <c r="H7" s="39">
        <f>'Enrollment Projections'!E27</f>
        <v>430</v>
      </c>
      <c r="I7" s="39">
        <f>'Enrollment Projections'!F27</f>
        <v>486</v>
      </c>
      <c r="J7" s="39">
        <f>'Enrollment Projections'!G27</f>
        <v>538</v>
      </c>
      <c r="K7" s="39">
        <f>'Enrollment Projections'!H27</f>
        <v>592</v>
      </c>
      <c r="L7" s="3"/>
      <c r="M7" s="3"/>
      <c r="N7" s="4"/>
    </row>
    <row r="8" spans="1:14" ht="15.75" customHeight="1" x14ac:dyDescent="0.25">
      <c r="A8" s="173"/>
      <c r="B8" s="146"/>
      <c r="C8" s="231" t="s">
        <v>221</v>
      </c>
      <c r="D8" s="211"/>
      <c r="E8" s="174"/>
      <c r="F8" s="260" t="s">
        <v>165</v>
      </c>
      <c r="G8" s="260" t="s">
        <v>6</v>
      </c>
      <c r="H8" s="260" t="s">
        <v>7</v>
      </c>
      <c r="I8" s="260" t="s">
        <v>8</v>
      </c>
      <c r="J8" s="260" t="s">
        <v>9</v>
      </c>
      <c r="K8" s="253" t="s">
        <v>10</v>
      </c>
      <c r="L8" s="4"/>
      <c r="M8" s="253" t="s">
        <v>222</v>
      </c>
      <c r="N8" s="4"/>
    </row>
    <row r="9" spans="1:14" ht="15.75" customHeight="1" x14ac:dyDescent="0.25">
      <c r="A9" s="173"/>
      <c r="B9" s="146"/>
      <c r="C9" s="224"/>
      <c r="D9" s="226"/>
      <c r="E9" s="175"/>
      <c r="F9" s="228"/>
      <c r="G9" s="228"/>
      <c r="H9" s="228"/>
      <c r="I9" s="228"/>
      <c r="J9" s="228"/>
      <c r="K9" s="228"/>
      <c r="L9" s="40"/>
      <c r="M9" s="228"/>
      <c r="N9" s="175"/>
    </row>
    <row r="10" spans="1:14" ht="15.75" customHeight="1" x14ac:dyDescent="0.25">
      <c r="A10" s="173"/>
      <c r="B10" s="176"/>
      <c r="C10" s="176"/>
      <c r="D10" s="175"/>
      <c r="E10" s="39"/>
      <c r="F10" s="39"/>
      <c r="G10" s="37"/>
      <c r="H10" s="37"/>
      <c r="I10" s="37"/>
      <c r="J10" s="37"/>
      <c r="K10" s="37"/>
      <c r="L10" s="37"/>
      <c r="M10" s="39"/>
      <c r="N10" s="175"/>
    </row>
    <row r="11" spans="1:14" ht="15.75" customHeight="1" x14ac:dyDescent="0.25">
      <c r="A11" s="173"/>
      <c r="B11" s="89"/>
      <c r="C11" s="237" t="s">
        <v>223</v>
      </c>
      <c r="D11" s="208"/>
      <c r="E11" s="43"/>
      <c r="F11" s="43"/>
      <c r="G11" s="177"/>
      <c r="H11" s="177"/>
      <c r="I11" s="177"/>
      <c r="J11" s="177"/>
      <c r="K11" s="68"/>
      <c r="L11" s="37"/>
      <c r="M11" s="7"/>
      <c r="N11" s="178"/>
    </row>
    <row r="12" spans="1:14" ht="15.75" customHeight="1" x14ac:dyDescent="0.25">
      <c r="A12" s="173"/>
      <c r="B12" s="36"/>
      <c r="C12" s="234" t="s">
        <v>224</v>
      </c>
      <c r="D12" s="208"/>
      <c r="E12" s="37"/>
      <c r="F12" s="37"/>
      <c r="G12" s="179">
        <f>'State Funding Assumptions'!C5*G7</f>
        <v>2429722.0720261051</v>
      </c>
      <c r="H12" s="179">
        <f>'State Funding Assumptions'!D5*H7</f>
        <v>2834244.9489113027</v>
      </c>
      <c r="I12" s="179">
        <f>'State Funding Assumptions'!E5*I7</f>
        <v>3267423.0373821189</v>
      </c>
      <c r="J12" s="179">
        <f>'State Funding Assumptions'!F5*J7</f>
        <v>3689364.3333205995</v>
      </c>
      <c r="K12" s="179">
        <f>'State Funding Assumptions'!G5*K7</f>
        <v>4140865.7231083843</v>
      </c>
      <c r="L12" s="37"/>
      <c r="M12" s="254"/>
      <c r="N12" s="178"/>
    </row>
    <row r="13" spans="1:14" ht="15.75" customHeight="1" x14ac:dyDescent="0.25">
      <c r="A13" s="173"/>
      <c r="B13" s="36"/>
      <c r="C13" s="234" t="s">
        <v>225</v>
      </c>
      <c r="D13" s="208"/>
      <c r="E13" s="37"/>
      <c r="F13" s="37"/>
      <c r="G13" s="179">
        <f>'State Funding Assumptions'!C6*('Enrollment Projections'!D27*'Enrollment Projections'!D31)</f>
        <v>101901.264</v>
      </c>
      <c r="H13" s="179">
        <f>'State Funding Assumptions'!D6*('Enrollment Projections'!E27*'Enrollment Projections'!E31)</f>
        <v>118866.7404</v>
      </c>
      <c r="I13" s="179">
        <f>'State Funding Assumptions'!E6*('Enrollment Projections'!F27*'Enrollment Projections'!F31)</f>
        <v>137034.00128160001</v>
      </c>
      <c r="J13" s="179">
        <f>'State Funding Assumptions'!F6*('Enrollment Projections'!G27*'Enrollment Projections'!G31)</f>
        <v>154729.99700265602</v>
      </c>
      <c r="K13" s="179">
        <f>'State Funding Assumptions'!G6*('Enrollment Projections'!H27*'Enrollment Projections'!H31)</f>
        <v>173665.7274908621</v>
      </c>
      <c r="L13" s="37"/>
      <c r="M13" s="255"/>
      <c r="N13" s="178"/>
    </row>
    <row r="14" spans="1:14" ht="15.75" customHeight="1" x14ac:dyDescent="0.25">
      <c r="A14" s="173"/>
      <c r="B14" s="36"/>
      <c r="C14" s="234" t="s">
        <v>226</v>
      </c>
      <c r="D14" s="208"/>
      <c r="E14" s="37"/>
      <c r="F14" s="37"/>
      <c r="G14" s="180" t="s">
        <v>94</v>
      </c>
      <c r="H14" s="181" t="s">
        <v>94</v>
      </c>
      <c r="I14" s="181" t="s">
        <v>94</v>
      </c>
      <c r="J14" s="181" t="s">
        <v>94</v>
      </c>
      <c r="K14" s="181" t="s">
        <v>94</v>
      </c>
      <c r="L14" s="37"/>
      <c r="M14" s="255"/>
      <c r="N14" s="178"/>
    </row>
    <row r="15" spans="1:14" ht="15.75" customHeight="1" x14ac:dyDescent="0.25">
      <c r="A15" s="173"/>
      <c r="B15" s="36"/>
      <c r="C15" s="234" t="s">
        <v>227</v>
      </c>
      <c r="D15" s="208"/>
      <c r="E15" s="37"/>
      <c r="F15" s="37"/>
      <c r="G15" s="180" t="s">
        <v>94</v>
      </c>
      <c r="H15" s="181" t="s">
        <v>94</v>
      </c>
      <c r="I15" s="181" t="s">
        <v>94</v>
      </c>
      <c r="J15" s="181" t="s">
        <v>94</v>
      </c>
      <c r="K15" s="181" t="s">
        <v>94</v>
      </c>
      <c r="L15" s="37"/>
      <c r="M15" s="255"/>
      <c r="N15" s="178"/>
    </row>
    <row r="16" spans="1:14" ht="15.75" customHeight="1" x14ac:dyDescent="0.25">
      <c r="A16" s="173"/>
      <c r="B16" s="36"/>
      <c r="C16" s="234" t="s">
        <v>228</v>
      </c>
      <c r="D16" s="208"/>
      <c r="E16" s="37"/>
      <c r="F16" s="37"/>
      <c r="G16" s="180">
        <f>G7*'State Funding Assumptions'!C7</f>
        <v>564000</v>
      </c>
      <c r="H16" s="180">
        <f>H7*'State Funding Assumptions'!D7</f>
        <v>645000</v>
      </c>
      <c r="I16" s="180">
        <f>I7*'State Funding Assumptions'!E7</f>
        <v>729000</v>
      </c>
      <c r="J16" s="180">
        <f>J7*'State Funding Assumptions'!F7</f>
        <v>807000</v>
      </c>
      <c r="K16" s="180">
        <f>K7*'State Funding Assumptions'!G7</f>
        <v>888000</v>
      </c>
      <c r="L16" s="37"/>
      <c r="M16" s="255"/>
      <c r="N16" s="178"/>
    </row>
    <row r="17" spans="1:14" ht="15.75" customHeight="1" x14ac:dyDescent="0.25">
      <c r="A17" s="173"/>
      <c r="B17" s="36"/>
      <c r="C17" s="234" t="s">
        <v>229</v>
      </c>
      <c r="D17" s="208"/>
      <c r="E17" s="37"/>
      <c r="F17" s="37"/>
      <c r="G17" s="180">
        <v>7000</v>
      </c>
      <c r="H17" s="181">
        <v>7000</v>
      </c>
      <c r="I17" s="181">
        <v>7000</v>
      </c>
      <c r="J17" s="181">
        <v>7000</v>
      </c>
      <c r="K17" s="181">
        <v>7000</v>
      </c>
      <c r="L17" s="37"/>
      <c r="M17" s="255"/>
      <c r="N17" s="178"/>
    </row>
    <row r="18" spans="1:14" ht="15.75" customHeight="1" x14ac:dyDescent="0.25">
      <c r="A18" s="173"/>
      <c r="B18" s="36"/>
      <c r="C18" s="234" t="s">
        <v>230</v>
      </c>
      <c r="D18" s="208"/>
      <c r="E18" s="37"/>
      <c r="F18" s="37"/>
      <c r="G18" s="180" t="s">
        <v>94</v>
      </c>
      <c r="H18" s="181" t="s">
        <v>94</v>
      </c>
      <c r="I18" s="181" t="s">
        <v>94</v>
      </c>
      <c r="J18" s="181" t="s">
        <v>94</v>
      </c>
      <c r="K18" s="181" t="s">
        <v>94</v>
      </c>
      <c r="L18" s="37"/>
      <c r="M18" s="255"/>
      <c r="N18" s="178"/>
    </row>
    <row r="19" spans="1:14" ht="15.75" customHeight="1" x14ac:dyDescent="0.25">
      <c r="A19" s="173"/>
      <c r="B19" s="36"/>
      <c r="C19" s="234" t="s">
        <v>231</v>
      </c>
      <c r="D19" s="208"/>
      <c r="E19" s="37"/>
      <c r="F19" s="37"/>
      <c r="G19" s="180" t="s">
        <v>94</v>
      </c>
      <c r="H19" s="181" t="s">
        <v>94</v>
      </c>
      <c r="I19" s="181" t="s">
        <v>94</v>
      </c>
      <c r="J19" s="181" t="s">
        <v>94</v>
      </c>
      <c r="K19" s="181" t="s">
        <v>94</v>
      </c>
      <c r="L19" s="37"/>
      <c r="M19" s="255"/>
      <c r="N19" s="178"/>
    </row>
    <row r="20" spans="1:14" ht="15.75" customHeight="1" x14ac:dyDescent="0.25">
      <c r="A20" s="173"/>
      <c r="B20" s="36"/>
      <c r="C20" s="234" t="s">
        <v>232</v>
      </c>
      <c r="D20" s="208"/>
      <c r="E20" s="37"/>
      <c r="F20" s="37"/>
      <c r="G20" s="180">
        <v>10000</v>
      </c>
      <c r="H20" s="181">
        <v>11000</v>
      </c>
      <c r="I20" s="181">
        <v>12000</v>
      </c>
      <c r="J20" s="181">
        <v>13000</v>
      </c>
      <c r="K20" s="181">
        <v>14000</v>
      </c>
      <c r="L20" s="37"/>
      <c r="M20" s="255"/>
      <c r="N20" s="182"/>
    </row>
    <row r="21" spans="1:14" ht="15.75" customHeight="1" x14ac:dyDescent="0.25">
      <c r="A21" s="173"/>
      <c r="B21" s="183"/>
      <c r="C21" s="261" t="s">
        <v>233</v>
      </c>
      <c r="D21" s="208"/>
      <c r="E21" s="37"/>
      <c r="F21" s="37"/>
      <c r="G21" s="180" t="s">
        <v>94</v>
      </c>
      <c r="H21" s="181" t="s">
        <v>94</v>
      </c>
      <c r="I21" s="181" t="s">
        <v>94</v>
      </c>
      <c r="J21" s="181" t="s">
        <v>94</v>
      </c>
      <c r="K21" s="181" t="s">
        <v>94</v>
      </c>
      <c r="L21" s="37"/>
      <c r="M21" s="255"/>
      <c r="N21" s="178"/>
    </row>
    <row r="22" spans="1:14" ht="15.75" customHeight="1" x14ac:dyDescent="0.25">
      <c r="A22" s="173"/>
      <c r="B22" s="36"/>
      <c r="C22" s="234" t="s">
        <v>234</v>
      </c>
      <c r="D22" s="208"/>
      <c r="E22" s="37"/>
      <c r="F22" s="37"/>
      <c r="G22" s="180">
        <v>0</v>
      </c>
      <c r="H22" s="181" t="s">
        <v>94</v>
      </c>
      <c r="I22" s="181" t="s">
        <v>94</v>
      </c>
      <c r="J22" s="181" t="s">
        <v>94</v>
      </c>
      <c r="K22" s="181" t="s">
        <v>94</v>
      </c>
      <c r="L22" s="37"/>
      <c r="M22" s="255"/>
      <c r="N22" s="178"/>
    </row>
    <row r="23" spans="1:14" ht="15.75" customHeight="1" x14ac:dyDescent="0.25">
      <c r="A23" s="173"/>
      <c r="B23" s="36"/>
      <c r="C23" s="234" t="s">
        <v>235</v>
      </c>
      <c r="D23" s="208"/>
      <c r="E23" s="37"/>
      <c r="F23" s="37"/>
      <c r="G23" s="180" t="s">
        <v>94</v>
      </c>
      <c r="H23" s="181" t="s">
        <v>94</v>
      </c>
      <c r="I23" s="181" t="s">
        <v>94</v>
      </c>
      <c r="J23" s="181" t="s">
        <v>94</v>
      </c>
      <c r="K23" s="181" t="s">
        <v>94</v>
      </c>
      <c r="L23" s="37"/>
      <c r="M23" s="228"/>
      <c r="N23" s="178"/>
    </row>
    <row r="24" spans="1:14" ht="15.75" customHeight="1" x14ac:dyDescent="0.25">
      <c r="A24" s="173"/>
      <c r="B24" s="2"/>
      <c r="C24" s="235"/>
      <c r="D24" s="226"/>
      <c r="E24" s="37"/>
      <c r="F24" s="37"/>
      <c r="G24" s="68"/>
      <c r="H24" s="68"/>
      <c r="I24" s="68"/>
      <c r="J24" s="68"/>
      <c r="K24" s="68"/>
      <c r="L24" s="37"/>
      <c r="M24" s="184"/>
      <c r="N24" s="178"/>
    </row>
    <row r="25" spans="1:14" ht="15.75" customHeight="1" x14ac:dyDescent="0.25">
      <c r="A25" s="173"/>
      <c r="B25" s="185"/>
      <c r="C25" s="236" t="s">
        <v>236</v>
      </c>
      <c r="D25" s="208"/>
      <c r="E25" s="100"/>
      <c r="F25" s="186"/>
      <c r="G25" s="187">
        <f t="shared" ref="G25:K25" si="0">SUM(G12:G23)</f>
        <v>3112623.3360261051</v>
      </c>
      <c r="H25" s="187">
        <f t="shared" si="0"/>
        <v>3616111.6893113027</v>
      </c>
      <c r="I25" s="187">
        <f t="shared" si="0"/>
        <v>4152457.0386637188</v>
      </c>
      <c r="J25" s="187">
        <f t="shared" si="0"/>
        <v>4671094.3303232556</v>
      </c>
      <c r="K25" s="187">
        <f t="shared" si="0"/>
        <v>5223531.4505992467</v>
      </c>
      <c r="L25" s="185"/>
      <c r="M25" s="184"/>
      <c r="N25" s="178"/>
    </row>
    <row r="26" spans="1:14" ht="15.75" customHeight="1" x14ac:dyDescent="0.25">
      <c r="A26" s="173"/>
      <c r="B26" s="2"/>
      <c r="C26" s="235"/>
      <c r="D26" s="226"/>
      <c r="E26" s="37"/>
      <c r="F26" s="37"/>
      <c r="G26" s="37"/>
      <c r="H26" s="37"/>
      <c r="I26" s="37"/>
      <c r="J26" s="37"/>
      <c r="K26" s="37"/>
      <c r="L26" s="37"/>
      <c r="M26" s="184"/>
      <c r="N26" s="178"/>
    </row>
    <row r="27" spans="1:14" ht="15.75" customHeight="1" x14ac:dyDescent="0.25">
      <c r="A27" s="173"/>
      <c r="B27" s="89"/>
      <c r="C27" s="237" t="s">
        <v>87</v>
      </c>
      <c r="D27" s="208"/>
      <c r="E27" s="43"/>
      <c r="F27" s="43"/>
      <c r="G27" s="235"/>
      <c r="H27" s="225"/>
      <c r="I27" s="225"/>
      <c r="J27" s="225"/>
      <c r="K27" s="225"/>
      <c r="L27" s="37"/>
      <c r="M27" s="56"/>
      <c r="N27" s="178"/>
    </row>
    <row r="28" spans="1:14" ht="15.75" customHeight="1" x14ac:dyDescent="0.25">
      <c r="A28" s="173"/>
      <c r="B28" s="36"/>
      <c r="C28" s="234" t="s">
        <v>237</v>
      </c>
      <c r="D28" s="208"/>
      <c r="E28" s="40"/>
      <c r="F28" s="188">
        <f>'Year 0 - Budget and Cash Flow'!R11</f>
        <v>300000</v>
      </c>
      <c r="G28" s="180" t="s">
        <v>94</v>
      </c>
      <c r="H28" s="181" t="s">
        <v>94</v>
      </c>
      <c r="I28" s="181" t="s">
        <v>94</v>
      </c>
      <c r="J28" s="181" t="s">
        <v>94</v>
      </c>
      <c r="K28" s="181" t="s">
        <v>94</v>
      </c>
      <c r="L28" s="40"/>
      <c r="M28" s="256" t="s">
        <v>238</v>
      </c>
      <c r="N28" s="182"/>
    </row>
    <row r="29" spans="1:14" ht="15.75" customHeight="1" x14ac:dyDescent="0.25">
      <c r="A29" s="173"/>
      <c r="B29" s="36"/>
      <c r="C29" s="234" t="s">
        <v>239</v>
      </c>
      <c r="D29" s="208"/>
      <c r="E29" s="37"/>
      <c r="F29" s="37"/>
      <c r="G29" s="180" t="s">
        <v>94</v>
      </c>
      <c r="H29" s="181" t="s">
        <v>94</v>
      </c>
      <c r="I29" s="181" t="s">
        <v>94</v>
      </c>
      <c r="J29" s="181" t="s">
        <v>94</v>
      </c>
      <c r="K29" s="181" t="s">
        <v>94</v>
      </c>
      <c r="L29" s="40"/>
      <c r="M29" s="255"/>
      <c r="N29" s="178"/>
    </row>
    <row r="30" spans="1:14" ht="15.75" customHeight="1" x14ac:dyDescent="0.25">
      <c r="A30" s="173"/>
      <c r="B30" s="36"/>
      <c r="C30" s="234" t="s">
        <v>240</v>
      </c>
      <c r="D30" s="208"/>
      <c r="E30" s="37"/>
      <c r="F30" s="37"/>
      <c r="G30" s="180">
        <v>70000</v>
      </c>
      <c r="H30" s="181">
        <v>70000</v>
      </c>
      <c r="I30" s="181">
        <v>70000</v>
      </c>
      <c r="J30" s="181">
        <v>70000</v>
      </c>
      <c r="K30" s="181">
        <v>70000</v>
      </c>
      <c r="L30" s="40"/>
      <c r="M30" s="255"/>
      <c r="N30" s="178"/>
    </row>
    <row r="31" spans="1:14" ht="15.75" customHeight="1" x14ac:dyDescent="0.25">
      <c r="A31" s="173"/>
      <c r="B31" s="36"/>
      <c r="C31" s="234" t="s">
        <v>38</v>
      </c>
      <c r="D31" s="208"/>
      <c r="E31" s="37"/>
      <c r="F31" s="37"/>
      <c r="G31" s="180">
        <v>50000</v>
      </c>
      <c r="H31" s="181">
        <v>50000</v>
      </c>
      <c r="I31" s="181">
        <v>50000</v>
      </c>
      <c r="J31" s="181">
        <v>50000</v>
      </c>
      <c r="K31" s="181">
        <v>50000</v>
      </c>
      <c r="L31" s="40"/>
      <c r="M31" s="255"/>
      <c r="N31" s="178"/>
    </row>
    <row r="32" spans="1:14" ht="15.75" customHeight="1" x14ac:dyDescent="0.25">
      <c r="A32" s="173"/>
      <c r="B32" s="36"/>
      <c r="C32" s="234" t="s">
        <v>241</v>
      </c>
      <c r="D32" s="208"/>
      <c r="E32" s="37"/>
      <c r="F32" s="37"/>
      <c r="G32" s="180">
        <v>8000</v>
      </c>
      <c r="H32" s="181">
        <v>8000</v>
      </c>
      <c r="I32" s="181">
        <v>8000</v>
      </c>
      <c r="J32" s="181">
        <v>8000</v>
      </c>
      <c r="K32" s="181">
        <v>8000</v>
      </c>
      <c r="L32" s="40"/>
      <c r="M32" s="255"/>
      <c r="N32" s="178"/>
    </row>
    <row r="33" spans="1:14" ht="15.75" customHeight="1" x14ac:dyDescent="0.25">
      <c r="A33" s="173"/>
      <c r="B33" s="36"/>
      <c r="C33" s="234" t="s">
        <v>242</v>
      </c>
      <c r="D33" s="208"/>
      <c r="E33" s="37"/>
      <c r="F33" s="37"/>
      <c r="G33" s="180" t="s">
        <v>94</v>
      </c>
      <c r="H33" s="181" t="s">
        <v>94</v>
      </c>
      <c r="I33" s="181" t="s">
        <v>94</v>
      </c>
      <c r="J33" s="181" t="s">
        <v>94</v>
      </c>
      <c r="K33" s="181" t="s">
        <v>94</v>
      </c>
      <c r="L33" s="40"/>
      <c r="M33" s="255"/>
      <c r="N33" s="178"/>
    </row>
    <row r="34" spans="1:14" ht="15.75" customHeight="1" x14ac:dyDescent="0.25">
      <c r="A34" s="173"/>
      <c r="B34" s="36"/>
      <c r="C34" s="234" t="s">
        <v>243</v>
      </c>
      <c r="D34" s="208"/>
      <c r="E34" s="37"/>
      <c r="F34" s="37"/>
      <c r="G34" s="180" t="s">
        <v>94</v>
      </c>
      <c r="H34" s="181" t="s">
        <v>94</v>
      </c>
      <c r="I34" s="181" t="s">
        <v>94</v>
      </c>
      <c r="J34" s="181" t="s">
        <v>94</v>
      </c>
      <c r="K34" s="181" t="s">
        <v>94</v>
      </c>
      <c r="L34" s="40"/>
      <c r="M34" s="255"/>
      <c r="N34" s="178"/>
    </row>
    <row r="35" spans="1:14" ht="15.75" customHeight="1" x14ac:dyDescent="0.25">
      <c r="A35" s="173"/>
      <c r="B35" s="36"/>
      <c r="C35" s="234" t="s">
        <v>244</v>
      </c>
      <c r="D35" s="208"/>
      <c r="E35" s="40"/>
      <c r="F35" s="188" t="s">
        <v>94</v>
      </c>
      <c r="G35" s="180" t="s">
        <v>94</v>
      </c>
      <c r="H35" s="181" t="s">
        <v>94</v>
      </c>
      <c r="I35" s="181" t="s">
        <v>94</v>
      </c>
      <c r="J35" s="181" t="s">
        <v>94</v>
      </c>
      <c r="K35" s="181" t="s">
        <v>94</v>
      </c>
      <c r="L35" s="40"/>
      <c r="M35" s="228"/>
      <c r="N35" s="178"/>
    </row>
    <row r="36" spans="1:14" ht="15.75" customHeight="1" x14ac:dyDescent="0.25">
      <c r="A36" s="173"/>
      <c r="B36" s="2"/>
      <c r="C36" s="235"/>
      <c r="D36" s="226"/>
      <c r="E36" s="37"/>
      <c r="F36" s="68"/>
      <c r="G36" s="68"/>
      <c r="H36" s="68"/>
      <c r="I36" s="68"/>
      <c r="J36" s="68"/>
      <c r="K36" s="68"/>
      <c r="L36" s="37"/>
      <c r="M36" s="184"/>
      <c r="N36" s="178"/>
    </row>
    <row r="37" spans="1:14" ht="15.75" customHeight="1" x14ac:dyDescent="0.25">
      <c r="A37" s="173"/>
      <c r="B37" s="185"/>
      <c r="C37" s="236" t="s">
        <v>90</v>
      </c>
      <c r="D37" s="208"/>
      <c r="E37" s="186"/>
      <c r="F37" s="187">
        <f>SUM(F28,F35)</f>
        <v>300000</v>
      </c>
      <c r="G37" s="187">
        <f t="shared" ref="G37:K37" si="1">SUM(G28:G35)</f>
        <v>128000</v>
      </c>
      <c r="H37" s="187">
        <f t="shared" si="1"/>
        <v>128000</v>
      </c>
      <c r="I37" s="187">
        <f t="shared" si="1"/>
        <v>128000</v>
      </c>
      <c r="J37" s="187">
        <f t="shared" si="1"/>
        <v>128000</v>
      </c>
      <c r="K37" s="187">
        <f t="shared" si="1"/>
        <v>128000</v>
      </c>
      <c r="L37" s="100"/>
      <c r="M37" s="184"/>
      <c r="N37" s="178"/>
    </row>
    <row r="38" spans="1:14" ht="15.75" customHeight="1" x14ac:dyDescent="0.25">
      <c r="A38" s="173"/>
      <c r="B38" s="2"/>
      <c r="C38" s="235"/>
      <c r="D38" s="226"/>
      <c r="E38" s="37"/>
      <c r="F38" s="37"/>
      <c r="G38" s="37"/>
      <c r="H38" s="37"/>
      <c r="I38" s="37"/>
      <c r="J38" s="37"/>
      <c r="K38" s="37"/>
      <c r="L38" s="37"/>
      <c r="M38" s="184"/>
      <c r="N38" s="178"/>
    </row>
    <row r="39" spans="1:14" ht="15.75" customHeight="1" x14ac:dyDescent="0.25">
      <c r="A39" s="173"/>
      <c r="B39" s="89"/>
      <c r="C39" s="237" t="s">
        <v>91</v>
      </c>
      <c r="D39" s="208"/>
      <c r="E39" s="43"/>
      <c r="F39" s="177"/>
      <c r="G39" s="177"/>
      <c r="H39" s="177"/>
      <c r="I39" s="177"/>
      <c r="J39" s="177"/>
      <c r="K39" s="68"/>
      <c r="L39" s="37"/>
      <c r="M39" s="56"/>
      <c r="N39" s="178"/>
    </row>
    <row r="40" spans="1:14" ht="15.75" customHeight="1" x14ac:dyDescent="0.25">
      <c r="A40" s="173"/>
      <c r="B40" s="36"/>
      <c r="C40" s="234" t="s">
        <v>92</v>
      </c>
      <c r="D40" s="208"/>
      <c r="E40" s="40"/>
      <c r="F40" s="189">
        <f>'Year 0 - Budget and Cash Flow'!R17</f>
        <v>204000</v>
      </c>
      <c r="G40" s="181">
        <v>60000</v>
      </c>
      <c r="H40" s="181">
        <v>60000</v>
      </c>
      <c r="I40" s="181">
        <v>60000</v>
      </c>
      <c r="J40" s="181">
        <v>60000</v>
      </c>
      <c r="K40" s="181">
        <v>60000</v>
      </c>
      <c r="L40" s="40"/>
      <c r="M40" s="257" t="s">
        <v>245</v>
      </c>
      <c r="N40" s="178"/>
    </row>
    <row r="41" spans="1:14" ht="15.75" customHeight="1" x14ac:dyDescent="0.25">
      <c r="A41" s="173"/>
      <c r="B41" s="36"/>
      <c r="C41" s="234" t="s">
        <v>246</v>
      </c>
      <c r="D41" s="208"/>
      <c r="E41" s="37"/>
      <c r="F41" s="40"/>
      <c r="G41" s="181">
        <f t="shared" ref="G41:K41" si="2">G94*0.65</f>
        <v>48880</v>
      </c>
      <c r="H41" s="181">
        <f t="shared" si="2"/>
        <v>55900</v>
      </c>
      <c r="I41" s="181">
        <f t="shared" si="2"/>
        <v>63180</v>
      </c>
      <c r="J41" s="181">
        <f t="shared" si="2"/>
        <v>69940</v>
      </c>
      <c r="K41" s="181">
        <f t="shared" si="2"/>
        <v>76960</v>
      </c>
      <c r="L41" s="40"/>
      <c r="M41" s="255"/>
      <c r="N41" s="178"/>
    </row>
    <row r="42" spans="1:14" ht="15.75" customHeight="1" x14ac:dyDescent="0.25">
      <c r="A42" s="173"/>
      <c r="B42" s="36"/>
      <c r="C42" s="234" t="s">
        <v>247</v>
      </c>
      <c r="D42" s="208"/>
      <c r="E42" s="37"/>
      <c r="F42" s="69"/>
      <c r="G42" s="181">
        <v>0</v>
      </c>
      <c r="H42" s="181">
        <v>0</v>
      </c>
      <c r="I42" s="181">
        <v>0</v>
      </c>
      <c r="J42" s="181">
        <v>0</v>
      </c>
      <c r="K42" s="181">
        <v>0</v>
      </c>
      <c r="L42" s="40"/>
      <c r="M42" s="255"/>
      <c r="N42" s="178"/>
    </row>
    <row r="43" spans="1:14" ht="15.75" customHeight="1" x14ac:dyDescent="0.25">
      <c r="A43" s="173"/>
      <c r="B43" s="36"/>
      <c r="C43" s="234" t="s">
        <v>93</v>
      </c>
      <c r="D43" s="208"/>
      <c r="E43" s="40"/>
      <c r="F43" s="189">
        <v>0</v>
      </c>
      <c r="G43" s="181">
        <v>0</v>
      </c>
      <c r="H43" s="181">
        <v>0</v>
      </c>
      <c r="I43" s="181">
        <v>0</v>
      </c>
      <c r="J43" s="181">
        <v>0</v>
      </c>
      <c r="K43" s="181">
        <v>0</v>
      </c>
      <c r="L43" s="40"/>
      <c r="M43" s="255"/>
      <c r="N43" s="178"/>
    </row>
    <row r="44" spans="1:14" ht="15.75" customHeight="1" x14ac:dyDescent="0.25">
      <c r="A44" s="173"/>
      <c r="B44" s="36"/>
      <c r="C44" s="234" t="s">
        <v>248</v>
      </c>
      <c r="D44" s="208"/>
      <c r="E44" s="40"/>
      <c r="F44" s="189">
        <v>0</v>
      </c>
      <c r="G44" s="181">
        <v>0</v>
      </c>
      <c r="H44" s="181">
        <v>0</v>
      </c>
      <c r="I44" s="181">
        <v>0</v>
      </c>
      <c r="J44" s="181">
        <v>0</v>
      </c>
      <c r="K44" s="181">
        <v>0</v>
      </c>
      <c r="L44" s="40"/>
      <c r="M44" s="228"/>
      <c r="N44" s="178"/>
    </row>
    <row r="45" spans="1:14" ht="15.75" customHeight="1" x14ac:dyDescent="0.25">
      <c r="A45" s="173"/>
      <c r="B45" s="2"/>
      <c r="C45" s="235"/>
      <c r="D45" s="226"/>
      <c r="E45" s="37"/>
      <c r="F45" s="68"/>
      <c r="G45" s="68"/>
      <c r="H45" s="68"/>
      <c r="I45" s="68"/>
      <c r="J45" s="68"/>
      <c r="K45" s="68"/>
      <c r="L45" s="37"/>
      <c r="M45" s="184"/>
      <c r="N45" s="178"/>
    </row>
    <row r="46" spans="1:14" ht="15.75" customHeight="1" x14ac:dyDescent="0.25">
      <c r="A46" s="173"/>
      <c r="B46" s="185"/>
      <c r="C46" s="236" t="s">
        <v>96</v>
      </c>
      <c r="D46" s="208"/>
      <c r="E46" s="186"/>
      <c r="F46" s="187">
        <f>SUM(F44,F43,F40)</f>
        <v>204000</v>
      </c>
      <c r="G46" s="187">
        <f t="shared" ref="G46:K46" si="3">SUM(G40:G44)</f>
        <v>108880</v>
      </c>
      <c r="H46" s="187">
        <f t="shared" si="3"/>
        <v>115900</v>
      </c>
      <c r="I46" s="187">
        <f t="shared" si="3"/>
        <v>123180</v>
      </c>
      <c r="J46" s="187">
        <f t="shared" si="3"/>
        <v>129940</v>
      </c>
      <c r="K46" s="187">
        <f t="shared" si="3"/>
        <v>136960</v>
      </c>
      <c r="L46" s="100"/>
      <c r="M46" s="184"/>
      <c r="N46" s="178"/>
    </row>
    <row r="47" spans="1:14" ht="15.75" customHeight="1" x14ac:dyDescent="0.25">
      <c r="A47" s="173"/>
      <c r="B47" s="2"/>
      <c r="C47" s="235"/>
      <c r="D47" s="226"/>
      <c r="E47" s="37"/>
      <c r="F47" s="68"/>
      <c r="G47" s="68"/>
      <c r="H47" s="68"/>
      <c r="I47" s="68"/>
      <c r="J47" s="68"/>
      <c r="K47" s="68"/>
      <c r="L47" s="37"/>
      <c r="M47" s="184"/>
      <c r="N47" s="178"/>
    </row>
    <row r="48" spans="1:14" ht="15.75" customHeight="1" x14ac:dyDescent="0.25">
      <c r="A48" s="173"/>
      <c r="B48" s="185"/>
      <c r="C48" s="236" t="s">
        <v>97</v>
      </c>
      <c r="D48" s="208"/>
      <c r="E48" s="186"/>
      <c r="F48" s="187">
        <f>SUM(F46,F37)</f>
        <v>504000</v>
      </c>
      <c r="G48" s="187">
        <f t="shared" ref="G48:K48" si="4">SUM(G46,G37,G25)</f>
        <v>3349503.3360261051</v>
      </c>
      <c r="H48" s="187">
        <f t="shared" si="4"/>
        <v>3860011.6893113027</v>
      </c>
      <c r="I48" s="187">
        <f t="shared" si="4"/>
        <v>4403637.0386637188</v>
      </c>
      <c r="J48" s="187">
        <f t="shared" si="4"/>
        <v>4929034.3303232556</v>
      </c>
      <c r="K48" s="187">
        <f t="shared" si="4"/>
        <v>5488491.4505992467</v>
      </c>
      <c r="L48" s="100"/>
      <c r="M48" s="184"/>
      <c r="N48" s="178"/>
    </row>
    <row r="49" spans="1:14" ht="15.75" customHeight="1" x14ac:dyDescent="0.25">
      <c r="A49" s="173"/>
      <c r="B49" s="36"/>
      <c r="C49" s="36"/>
      <c r="D49" s="40"/>
      <c r="E49" s="37"/>
      <c r="F49" s="37"/>
      <c r="G49" s="37"/>
      <c r="H49" s="37"/>
      <c r="I49" s="37"/>
      <c r="J49" s="37"/>
      <c r="K49" s="37"/>
      <c r="L49" s="37"/>
      <c r="M49" s="184"/>
      <c r="N49" s="178"/>
    </row>
    <row r="50" spans="1:14" ht="15.75" customHeight="1" x14ac:dyDescent="0.25">
      <c r="A50" s="173"/>
      <c r="B50" s="146"/>
      <c r="C50" s="231" t="s">
        <v>98</v>
      </c>
      <c r="D50" s="211"/>
      <c r="E50" s="190"/>
      <c r="F50" s="43"/>
      <c r="G50" s="43"/>
      <c r="H50" s="43"/>
      <c r="I50" s="43"/>
      <c r="J50" s="43"/>
      <c r="K50" s="37"/>
      <c r="L50" s="37"/>
      <c r="M50" s="184"/>
      <c r="N50" s="178"/>
    </row>
    <row r="51" spans="1:14" ht="15.75" customHeight="1" x14ac:dyDescent="0.25">
      <c r="A51" s="173"/>
      <c r="B51" s="146"/>
      <c r="C51" s="224"/>
      <c r="D51" s="226"/>
      <c r="E51" s="37"/>
      <c r="F51" s="37"/>
      <c r="G51" s="37"/>
      <c r="H51" s="37"/>
      <c r="I51" s="37"/>
      <c r="J51" s="37"/>
      <c r="K51" s="37"/>
      <c r="L51" s="37"/>
      <c r="M51" s="184"/>
      <c r="N51" s="178"/>
    </row>
    <row r="52" spans="1:14" ht="15.75" customHeight="1" x14ac:dyDescent="0.25">
      <c r="A52" s="173"/>
      <c r="B52" s="36"/>
      <c r="C52" s="36"/>
      <c r="D52" s="40"/>
      <c r="E52" s="37"/>
      <c r="F52" s="37"/>
      <c r="G52" s="37"/>
      <c r="H52" s="37"/>
      <c r="I52" s="37"/>
      <c r="J52" s="37"/>
      <c r="K52" s="37"/>
      <c r="L52" s="37"/>
      <c r="M52" s="184"/>
      <c r="N52" s="178"/>
    </row>
    <row r="53" spans="1:14" ht="15.75" customHeight="1" x14ac:dyDescent="0.25">
      <c r="A53" s="173"/>
      <c r="B53" s="89"/>
      <c r="C53" s="237" t="s">
        <v>249</v>
      </c>
      <c r="D53" s="208"/>
      <c r="E53" s="43"/>
      <c r="F53" s="43"/>
      <c r="G53" s="177"/>
      <c r="H53" s="177"/>
      <c r="I53" s="177"/>
      <c r="J53" s="177"/>
      <c r="K53" s="68"/>
      <c r="L53" s="37"/>
      <c r="M53" s="184"/>
      <c r="N53" s="178"/>
    </row>
    <row r="54" spans="1:14" ht="15.75" customHeight="1" x14ac:dyDescent="0.25">
      <c r="A54" s="173"/>
      <c r="B54" s="36"/>
      <c r="C54" s="234" t="s">
        <v>250</v>
      </c>
      <c r="D54" s="208"/>
      <c r="E54" s="37"/>
      <c r="F54" s="40"/>
      <c r="G54" s="181">
        <f>StaffingPlan!K27</f>
        <v>90000</v>
      </c>
      <c r="H54" s="181">
        <f>StaffingPlan!O27</f>
        <v>92700</v>
      </c>
      <c r="I54" s="181">
        <f>StaffingPlan!S27</f>
        <v>95481</v>
      </c>
      <c r="J54" s="181">
        <f>StaffingPlan!W27</f>
        <v>98345.430000000008</v>
      </c>
      <c r="K54" s="181">
        <f>StaffingPlan!AA27</f>
        <v>101295.79290000001</v>
      </c>
      <c r="L54" s="37"/>
      <c r="M54" s="184"/>
      <c r="N54" s="178"/>
    </row>
    <row r="55" spans="1:14" ht="15.75" customHeight="1" x14ac:dyDescent="0.25">
      <c r="A55" s="173"/>
      <c r="B55" s="36"/>
      <c r="C55" s="234" t="s">
        <v>251</v>
      </c>
      <c r="D55" s="208"/>
      <c r="E55" s="37"/>
      <c r="F55" s="40"/>
      <c r="G55" s="181" t="s">
        <v>94</v>
      </c>
      <c r="H55" s="181" t="s">
        <v>94</v>
      </c>
      <c r="I55" s="181" t="s">
        <v>94</v>
      </c>
      <c r="J55" s="181" t="s">
        <v>94</v>
      </c>
      <c r="K55" s="181" t="s">
        <v>94</v>
      </c>
      <c r="L55" s="37"/>
      <c r="M55" s="184"/>
      <c r="N55" s="178"/>
    </row>
    <row r="56" spans="1:14" ht="15.75" customHeight="1" x14ac:dyDescent="0.25">
      <c r="A56" s="173"/>
      <c r="B56" s="36"/>
      <c r="C56" s="234" t="s">
        <v>252</v>
      </c>
      <c r="D56" s="208"/>
      <c r="E56" s="37"/>
      <c r="F56" s="40"/>
      <c r="G56" s="181">
        <f>StaffingPlan!K29</f>
        <v>0</v>
      </c>
      <c r="H56" s="181">
        <f>StaffingPlan!O29</f>
        <v>56650</v>
      </c>
      <c r="I56" s="181">
        <f>StaffingPlan!S29</f>
        <v>58349.5</v>
      </c>
      <c r="J56" s="181">
        <f>StaffingPlan!W29</f>
        <v>60099.985000000001</v>
      </c>
      <c r="K56" s="181">
        <f>StaffingPlan!AA29</f>
        <v>61902.984550000001</v>
      </c>
      <c r="L56" s="37"/>
      <c r="M56" s="184"/>
      <c r="N56" s="178"/>
    </row>
    <row r="57" spans="1:14" ht="15.75" customHeight="1" x14ac:dyDescent="0.25">
      <c r="A57" s="173"/>
      <c r="B57" s="36"/>
      <c r="C57" s="36"/>
      <c r="D57" s="40"/>
      <c r="E57" s="37"/>
      <c r="F57" s="37"/>
      <c r="G57" s="68"/>
      <c r="H57" s="68"/>
      <c r="I57" s="68"/>
      <c r="J57" s="68"/>
      <c r="K57" s="68"/>
      <c r="L57" s="37"/>
      <c r="M57" s="184"/>
      <c r="N57" s="178"/>
    </row>
    <row r="58" spans="1:14" ht="15.75" customHeight="1" x14ac:dyDescent="0.25">
      <c r="A58" s="173"/>
      <c r="B58" s="185"/>
      <c r="C58" s="236" t="s">
        <v>253</v>
      </c>
      <c r="D58" s="208"/>
      <c r="E58" s="100"/>
      <c r="F58" s="186"/>
      <c r="G58" s="187">
        <f t="shared" ref="G58:K58" si="5">SUM(G54:G56)</f>
        <v>90000</v>
      </c>
      <c r="H58" s="187">
        <f t="shared" si="5"/>
        <v>149350</v>
      </c>
      <c r="I58" s="187">
        <f t="shared" si="5"/>
        <v>153830.5</v>
      </c>
      <c r="J58" s="187">
        <f t="shared" si="5"/>
        <v>158445.41500000001</v>
      </c>
      <c r="K58" s="187">
        <f t="shared" si="5"/>
        <v>163198.77745000002</v>
      </c>
      <c r="L58" s="100"/>
      <c r="M58" s="184"/>
      <c r="N58" s="178"/>
    </row>
    <row r="59" spans="1:14" ht="15.75" customHeight="1" x14ac:dyDescent="0.25">
      <c r="A59" s="173"/>
      <c r="B59" s="89"/>
      <c r="C59" s="89"/>
      <c r="D59" s="106"/>
      <c r="E59" s="43"/>
      <c r="F59" s="43"/>
      <c r="G59" s="37"/>
      <c r="H59" s="37"/>
      <c r="I59" s="37"/>
      <c r="J59" s="37"/>
      <c r="K59" s="37"/>
      <c r="L59" s="37"/>
      <c r="M59" s="184"/>
      <c r="N59" s="178"/>
    </row>
    <row r="60" spans="1:14" ht="15.75" customHeight="1" x14ac:dyDescent="0.25">
      <c r="A60" s="173"/>
      <c r="B60" s="89"/>
      <c r="C60" s="237" t="s">
        <v>254</v>
      </c>
      <c r="D60" s="208"/>
      <c r="E60" s="43"/>
      <c r="F60" s="43"/>
      <c r="G60" s="177"/>
      <c r="H60" s="177"/>
      <c r="I60" s="177"/>
      <c r="J60" s="177"/>
      <c r="K60" s="68"/>
      <c r="L60" s="37"/>
      <c r="M60" s="56"/>
      <c r="N60" s="106"/>
    </row>
    <row r="61" spans="1:14" ht="15.75" customHeight="1" x14ac:dyDescent="0.25">
      <c r="A61" s="173"/>
      <c r="B61" s="36"/>
      <c r="C61" s="234" t="s">
        <v>255</v>
      </c>
      <c r="D61" s="208"/>
      <c r="E61" s="37"/>
      <c r="F61" s="40"/>
      <c r="G61" s="181">
        <f>StaffingPlan!K24-G62</f>
        <v>990000</v>
      </c>
      <c r="H61" s="181">
        <f>StaffingPlan!O24-H62</f>
        <v>1205100</v>
      </c>
      <c r="I61" s="181">
        <f>StaffingPlan!S24-I62</f>
        <v>1384474.5</v>
      </c>
      <c r="J61" s="181">
        <f>StaffingPlan!W24-J62</f>
        <v>1622699.5950000004</v>
      </c>
      <c r="K61" s="181">
        <f>StaffingPlan!AA24-K62</f>
        <v>1823324.2722000007</v>
      </c>
      <c r="L61" s="37"/>
      <c r="M61" s="191"/>
      <c r="N61" s="178"/>
    </row>
    <row r="62" spans="1:14" ht="15.75" customHeight="1" x14ac:dyDescent="0.25">
      <c r="A62" s="173"/>
      <c r="B62" s="36"/>
      <c r="C62" s="234" t="s">
        <v>256</v>
      </c>
      <c r="D62" s="208"/>
      <c r="E62" s="37"/>
      <c r="F62" s="40"/>
      <c r="G62" s="181">
        <f>StaffingPlan!K14</f>
        <v>90000</v>
      </c>
      <c r="H62" s="181">
        <f>StaffingPlan!O14</f>
        <v>92700</v>
      </c>
      <c r="I62" s="181">
        <f>StaffingPlan!S14</f>
        <v>95481</v>
      </c>
      <c r="J62" s="181">
        <f>StaffingPlan!W14</f>
        <v>147518.14500000002</v>
      </c>
      <c r="K62" s="181">
        <f>StaffingPlan!AA14</f>
        <v>151943.68935000003</v>
      </c>
      <c r="L62" s="37"/>
      <c r="M62" s="191"/>
      <c r="N62" s="178"/>
    </row>
    <row r="63" spans="1:14" ht="15.75" customHeight="1" x14ac:dyDescent="0.25">
      <c r="A63" s="173"/>
      <c r="B63" s="36"/>
      <c r="C63" s="234" t="s">
        <v>257</v>
      </c>
      <c r="D63" s="208"/>
      <c r="E63" s="37"/>
      <c r="F63" s="40"/>
      <c r="G63" s="181">
        <v>25000</v>
      </c>
      <c r="H63" s="181">
        <v>30000</v>
      </c>
      <c r="I63" s="181">
        <v>35000</v>
      </c>
      <c r="J63" s="181">
        <v>40000</v>
      </c>
      <c r="K63" s="181">
        <v>45000</v>
      </c>
      <c r="L63" s="37"/>
      <c r="M63" s="191" t="s">
        <v>258</v>
      </c>
      <c r="N63" s="178"/>
    </row>
    <row r="64" spans="1:14" ht="15.75" customHeight="1" x14ac:dyDescent="0.25">
      <c r="A64" s="173"/>
      <c r="B64" s="36"/>
      <c r="C64" s="234" t="s">
        <v>259</v>
      </c>
      <c r="D64" s="208"/>
      <c r="E64" s="37"/>
      <c r="F64" s="40"/>
      <c r="G64" s="181" t="s">
        <v>94</v>
      </c>
      <c r="H64" s="181" t="s">
        <v>94</v>
      </c>
      <c r="I64" s="181" t="s">
        <v>94</v>
      </c>
      <c r="J64" s="181" t="s">
        <v>94</v>
      </c>
      <c r="K64" s="181" t="s">
        <v>94</v>
      </c>
      <c r="L64" s="37"/>
      <c r="M64" s="192"/>
      <c r="N64" s="178"/>
    </row>
    <row r="65" spans="1:14" ht="15.75" customHeight="1" x14ac:dyDescent="0.25">
      <c r="A65" s="173"/>
      <c r="B65" s="36"/>
      <c r="C65" s="36"/>
      <c r="D65" s="40"/>
      <c r="E65" s="37"/>
      <c r="F65" s="37"/>
      <c r="G65" s="68"/>
      <c r="H65" s="68"/>
      <c r="I65" s="68"/>
      <c r="J65" s="68"/>
      <c r="K65" s="68"/>
      <c r="L65" s="37"/>
      <c r="M65" s="184"/>
      <c r="N65" s="178"/>
    </row>
    <row r="66" spans="1:14" ht="15.75" customHeight="1" x14ac:dyDescent="0.25">
      <c r="A66" s="173"/>
      <c r="B66" s="185"/>
      <c r="C66" s="236" t="s">
        <v>183</v>
      </c>
      <c r="D66" s="208"/>
      <c r="E66" s="100"/>
      <c r="F66" s="186"/>
      <c r="G66" s="193">
        <f t="shared" ref="G66:K66" si="6">SUM(G61:G64)</f>
        <v>1105000</v>
      </c>
      <c r="H66" s="193">
        <f t="shared" si="6"/>
        <v>1327800</v>
      </c>
      <c r="I66" s="193">
        <f t="shared" si="6"/>
        <v>1514955.5</v>
      </c>
      <c r="J66" s="193">
        <f t="shared" si="6"/>
        <v>1810217.7400000005</v>
      </c>
      <c r="K66" s="193">
        <f t="shared" si="6"/>
        <v>2020267.9615500008</v>
      </c>
      <c r="L66" s="43"/>
      <c r="M66" s="184"/>
      <c r="N66" s="178"/>
    </row>
    <row r="67" spans="1:14" ht="15.75" customHeight="1" x14ac:dyDescent="0.25">
      <c r="A67" s="173"/>
      <c r="B67" s="36"/>
      <c r="C67" s="36"/>
      <c r="D67" s="40"/>
      <c r="E67" s="37"/>
      <c r="F67" s="37"/>
      <c r="G67" s="37"/>
      <c r="H67" s="37"/>
      <c r="I67" s="37"/>
      <c r="J67" s="37"/>
      <c r="K67" s="37"/>
      <c r="L67" s="37"/>
      <c r="M67" s="184"/>
      <c r="N67" s="178"/>
    </row>
    <row r="68" spans="1:14" ht="15.75" customHeight="1" x14ac:dyDescent="0.25">
      <c r="A68" s="173"/>
      <c r="B68" s="89"/>
      <c r="C68" s="237" t="s">
        <v>260</v>
      </c>
      <c r="D68" s="208"/>
      <c r="E68" s="43"/>
      <c r="F68" s="43"/>
      <c r="G68" s="177"/>
      <c r="H68" s="177"/>
      <c r="I68" s="177"/>
      <c r="J68" s="177"/>
      <c r="K68" s="68"/>
      <c r="L68" s="37"/>
      <c r="M68" s="56"/>
      <c r="N68" s="178"/>
    </row>
    <row r="69" spans="1:14" ht="15.75" customHeight="1" x14ac:dyDescent="0.25">
      <c r="A69" s="173"/>
      <c r="B69" s="36"/>
      <c r="C69" s="234" t="s">
        <v>261</v>
      </c>
      <c r="D69" s="208"/>
      <c r="E69" s="37"/>
      <c r="F69" s="40"/>
      <c r="G69" s="181" t="s">
        <v>94</v>
      </c>
      <c r="H69" s="181" t="s">
        <v>94</v>
      </c>
      <c r="I69" s="181" t="s">
        <v>94</v>
      </c>
      <c r="J69" s="181" t="s">
        <v>94</v>
      </c>
      <c r="K69" s="181" t="s">
        <v>94</v>
      </c>
      <c r="L69" s="40"/>
      <c r="M69" s="191"/>
      <c r="N69" s="178"/>
    </row>
    <row r="70" spans="1:14" ht="15.75" customHeight="1" x14ac:dyDescent="0.25">
      <c r="A70" s="173"/>
      <c r="B70" s="36"/>
      <c r="C70" s="234" t="s">
        <v>262</v>
      </c>
      <c r="D70" s="208"/>
      <c r="E70" s="37"/>
      <c r="F70" s="40"/>
      <c r="G70" s="181" t="s">
        <v>94</v>
      </c>
      <c r="H70" s="181" t="s">
        <v>94</v>
      </c>
      <c r="I70" s="181" t="s">
        <v>94</v>
      </c>
      <c r="J70" s="181" t="s">
        <v>94</v>
      </c>
      <c r="K70" s="181" t="s">
        <v>94</v>
      </c>
      <c r="L70" s="40"/>
      <c r="M70" s="191"/>
      <c r="N70" s="178"/>
    </row>
    <row r="71" spans="1:14" ht="15.75" customHeight="1" x14ac:dyDescent="0.25">
      <c r="A71" s="173"/>
      <c r="B71" s="36"/>
      <c r="C71" s="234" t="s">
        <v>263</v>
      </c>
      <c r="D71" s="208"/>
      <c r="E71" s="37"/>
      <c r="F71" s="40"/>
      <c r="G71" s="181">
        <f>StaffingPlan!K42-G58</f>
        <v>455000</v>
      </c>
      <c r="H71" s="181">
        <f>StaffingPlan!O42-H58</f>
        <v>576800</v>
      </c>
      <c r="I71" s="181">
        <f>StaffingPlan!S42-I58</f>
        <v>710803</v>
      </c>
      <c r="J71" s="181">
        <f>StaffingPlan!W42-J58</f>
        <v>797690.70999999973</v>
      </c>
      <c r="K71" s="181">
        <f>StaffingPlan!AA42-K58</f>
        <v>855386.69559999998</v>
      </c>
      <c r="L71" s="40"/>
      <c r="M71" s="191" t="s">
        <v>264</v>
      </c>
      <c r="N71" s="194"/>
    </row>
    <row r="72" spans="1:14" ht="15.75" customHeight="1" x14ac:dyDescent="0.25">
      <c r="A72" s="173"/>
      <c r="B72" s="36"/>
      <c r="C72" s="234" t="s">
        <v>265</v>
      </c>
      <c r="D72" s="208"/>
      <c r="E72" s="37"/>
      <c r="F72" s="40"/>
      <c r="G72" s="181" t="s">
        <v>94</v>
      </c>
      <c r="H72" s="181" t="s">
        <v>94</v>
      </c>
      <c r="I72" s="181" t="s">
        <v>94</v>
      </c>
      <c r="J72" s="181" t="s">
        <v>94</v>
      </c>
      <c r="K72" s="181" t="s">
        <v>94</v>
      </c>
      <c r="L72" s="40"/>
      <c r="M72" s="191" t="s">
        <v>266</v>
      </c>
      <c r="N72" s="194"/>
    </row>
    <row r="73" spans="1:14" ht="15.75" customHeight="1" x14ac:dyDescent="0.25">
      <c r="A73" s="173"/>
      <c r="B73" s="36"/>
      <c r="C73" s="234" t="s">
        <v>267</v>
      </c>
      <c r="D73" s="208"/>
      <c r="E73" s="37"/>
      <c r="F73" s="40"/>
      <c r="G73" s="181" t="s">
        <v>94</v>
      </c>
      <c r="H73" s="181" t="s">
        <v>94</v>
      </c>
      <c r="I73" s="181" t="s">
        <v>94</v>
      </c>
      <c r="J73" s="181" t="s">
        <v>94</v>
      </c>
      <c r="K73" s="181" t="s">
        <v>94</v>
      </c>
      <c r="L73" s="40"/>
      <c r="M73" s="191"/>
      <c r="N73" s="178"/>
    </row>
    <row r="74" spans="1:14" ht="15.75" customHeight="1" x14ac:dyDescent="0.25">
      <c r="A74" s="173"/>
      <c r="B74" s="36"/>
      <c r="C74" s="234" t="s">
        <v>268</v>
      </c>
      <c r="D74" s="208"/>
      <c r="E74" s="37"/>
      <c r="F74" s="40"/>
      <c r="G74" s="181" t="s">
        <v>94</v>
      </c>
      <c r="H74" s="181" t="s">
        <v>94</v>
      </c>
      <c r="I74" s="181" t="s">
        <v>94</v>
      </c>
      <c r="J74" s="181" t="s">
        <v>94</v>
      </c>
      <c r="K74" s="181" t="s">
        <v>94</v>
      </c>
      <c r="L74" s="40"/>
      <c r="M74" s="191"/>
      <c r="N74" s="178"/>
    </row>
    <row r="75" spans="1:14" ht="15.75" customHeight="1" x14ac:dyDescent="0.25">
      <c r="A75" s="173"/>
      <c r="B75" s="36"/>
      <c r="C75" s="234" t="s">
        <v>269</v>
      </c>
      <c r="D75" s="208"/>
      <c r="E75" s="37"/>
      <c r="F75" s="40"/>
      <c r="G75" s="181" t="s">
        <v>94</v>
      </c>
      <c r="H75" s="181" t="s">
        <v>94</v>
      </c>
      <c r="I75" s="181" t="s">
        <v>94</v>
      </c>
      <c r="J75" s="181" t="s">
        <v>94</v>
      </c>
      <c r="K75" s="181" t="s">
        <v>94</v>
      </c>
      <c r="L75" s="40"/>
      <c r="M75" s="191" t="s">
        <v>270</v>
      </c>
      <c r="N75" s="178"/>
    </row>
    <row r="76" spans="1:14" ht="15.75" customHeight="1" x14ac:dyDescent="0.25">
      <c r="A76" s="173"/>
      <c r="B76" s="36"/>
      <c r="C76" s="234" t="s">
        <v>271</v>
      </c>
      <c r="D76" s="208"/>
      <c r="E76" s="37"/>
      <c r="F76" s="40"/>
      <c r="G76" s="181" t="s">
        <v>94</v>
      </c>
      <c r="H76" s="181" t="s">
        <v>94</v>
      </c>
      <c r="I76" s="181" t="s">
        <v>94</v>
      </c>
      <c r="J76" s="181" t="s">
        <v>94</v>
      </c>
      <c r="K76" s="181" t="s">
        <v>94</v>
      </c>
      <c r="L76" s="40"/>
      <c r="M76" s="191" t="s">
        <v>272</v>
      </c>
      <c r="N76" s="178"/>
    </row>
    <row r="77" spans="1:14" ht="15.75" customHeight="1" x14ac:dyDescent="0.25">
      <c r="A77" s="173"/>
      <c r="B77" s="36"/>
      <c r="C77" s="234" t="s">
        <v>273</v>
      </c>
      <c r="D77" s="208"/>
      <c r="E77" s="37"/>
      <c r="F77" s="40"/>
      <c r="G77" s="181" t="s">
        <v>94</v>
      </c>
      <c r="H77" s="181" t="s">
        <v>94</v>
      </c>
      <c r="I77" s="181" t="s">
        <v>94</v>
      </c>
      <c r="J77" s="181" t="s">
        <v>94</v>
      </c>
      <c r="K77" s="181" t="s">
        <v>94</v>
      </c>
      <c r="L77" s="40"/>
      <c r="M77" s="192"/>
      <c r="N77" s="178"/>
    </row>
    <row r="78" spans="1:14" ht="15.75" customHeight="1" x14ac:dyDescent="0.25">
      <c r="A78" s="173"/>
      <c r="B78" s="36"/>
      <c r="C78" s="36"/>
      <c r="D78" s="40"/>
      <c r="E78" s="37"/>
      <c r="F78" s="37"/>
      <c r="G78" s="68"/>
      <c r="H78" s="68"/>
      <c r="I78" s="68"/>
      <c r="J78" s="68"/>
      <c r="K78" s="68"/>
      <c r="L78" s="37"/>
      <c r="M78" s="184"/>
      <c r="N78" s="178"/>
    </row>
    <row r="79" spans="1:14" ht="15.75" customHeight="1" x14ac:dyDescent="0.25">
      <c r="A79" s="173"/>
      <c r="B79" s="185"/>
      <c r="C79" s="236" t="s">
        <v>274</v>
      </c>
      <c r="D79" s="208"/>
      <c r="E79" s="100"/>
      <c r="F79" s="186"/>
      <c r="G79" s="193">
        <f t="shared" ref="G79:K79" si="7">SUM(G69:G77)</f>
        <v>455000</v>
      </c>
      <c r="H79" s="193">
        <f t="shared" si="7"/>
        <v>576800</v>
      </c>
      <c r="I79" s="193">
        <f t="shared" si="7"/>
        <v>710803</v>
      </c>
      <c r="J79" s="193">
        <f t="shared" si="7"/>
        <v>797690.70999999973</v>
      </c>
      <c r="K79" s="193">
        <f t="shared" si="7"/>
        <v>855386.69559999998</v>
      </c>
      <c r="L79" s="43"/>
      <c r="M79" s="184"/>
      <c r="N79" s="178"/>
    </row>
    <row r="80" spans="1:14" ht="15.75" customHeight="1" x14ac:dyDescent="0.25">
      <c r="A80" s="173"/>
      <c r="B80" s="36"/>
      <c r="C80" s="36"/>
      <c r="D80" s="40"/>
      <c r="E80" s="37"/>
      <c r="F80" s="37"/>
      <c r="G80" s="68"/>
      <c r="H80" s="68"/>
      <c r="I80" s="68"/>
      <c r="J80" s="68"/>
      <c r="K80" s="68"/>
      <c r="L80" s="37"/>
      <c r="M80" s="184"/>
      <c r="N80" s="178"/>
    </row>
    <row r="81" spans="1:14" ht="15.75" customHeight="1" x14ac:dyDescent="0.25">
      <c r="A81" s="173"/>
      <c r="B81" s="185"/>
      <c r="C81" s="236" t="s">
        <v>275</v>
      </c>
      <c r="D81" s="208"/>
      <c r="E81" s="100"/>
      <c r="F81" s="100"/>
      <c r="G81" s="195">
        <f t="shared" ref="G81:K81" si="8">SUM(G79,G66,G58)</f>
        <v>1650000</v>
      </c>
      <c r="H81" s="187">
        <f t="shared" si="8"/>
        <v>2053950</v>
      </c>
      <c r="I81" s="187">
        <f t="shared" si="8"/>
        <v>2379589</v>
      </c>
      <c r="J81" s="187">
        <f t="shared" si="8"/>
        <v>2766353.8650000002</v>
      </c>
      <c r="K81" s="187">
        <f t="shared" si="8"/>
        <v>3038853.4346000007</v>
      </c>
      <c r="L81" s="100"/>
      <c r="M81" s="184"/>
      <c r="N81" s="178"/>
    </row>
    <row r="82" spans="1:14" ht="15.75" customHeight="1" x14ac:dyDescent="0.25">
      <c r="A82" s="173"/>
      <c r="B82" s="36"/>
      <c r="C82" s="36"/>
      <c r="D82" s="40"/>
      <c r="E82" s="37"/>
      <c r="F82" s="39"/>
      <c r="G82" s="39"/>
      <c r="H82" s="39"/>
      <c r="I82" s="39"/>
      <c r="J82" s="39"/>
      <c r="K82" s="39"/>
      <c r="L82" s="39"/>
      <c r="M82" s="184"/>
      <c r="N82" s="178"/>
    </row>
    <row r="83" spans="1:14" ht="15.75" customHeight="1" x14ac:dyDescent="0.25">
      <c r="A83" s="173"/>
      <c r="B83" s="89"/>
      <c r="C83" s="237" t="s">
        <v>276</v>
      </c>
      <c r="D83" s="208"/>
      <c r="E83" s="43"/>
      <c r="F83" s="43"/>
      <c r="G83" s="177"/>
      <c r="H83" s="177"/>
      <c r="I83" s="177"/>
      <c r="J83" s="177"/>
      <c r="K83" s="68"/>
      <c r="L83" s="37"/>
      <c r="M83" s="7"/>
      <c r="N83" s="178"/>
    </row>
    <row r="84" spans="1:14" ht="15.75" customHeight="1" x14ac:dyDescent="0.25">
      <c r="A84" s="173"/>
      <c r="B84" s="36"/>
      <c r="C84" s="234" t="s">
        <v>277</v>
      </c>
      <c r="D84" s="208"/>
      <c r="E84" s="37"/>
      <c r="F84" s="40"/>
      <c r="G84" s="189">
        <f>SUM(StaffingPlan!K48,StaffingPlan!K49,StaffingPlan!K50)</f>
        <v>164937.5</v>
      </c>
      <c r="H84" s="189">
        <f>SUM(StaffingPlan!O48,StaffingPlan!O49,StaffingPlan!O50)</f>
        <v>205430.92499999999</v>
      </c>
      <c r="I84" s="189">
        <f>SUM(StaffingPlan!S48,StaffingPlan!S49,StaffingPlan!S50)</f>
        <v>237975.78350000002</v>
      </c>
      <c r="J84" s="189">
        <f>SUM(StaffingPlan!W48,StaffingPlan!W49,StaffingPlan!W50)</f>
        <v>276724.91729750001</v>
      </c>
      <c r="K84" s="189">
        <f>SUM(StaffingPlan!AA48,StaffingPlan!AA49,StaffingPlan!AA50)</f>
        <v>303876.12361190008</v>
      </c>
      <c r="L84" s="37"/>
      <c r="M84" s="258"/>
      <c r="N84" s="178"/>
    </row>
    <row r="85" spans="1:14" ht="15.75" customHeight="1" x14ac:dyDescent="0.25">
      <c r="A85" s="173"/>
      <c r="B85" s="36"/>
      <c r="C85" s="234" t="s">
        <v>278</v>
      </c>
      <c r="D85" s="208"/>
      <c r="E85" s="37"/>
      <c r="F85" s="40"/>
      <c r="G85" s="189">
        <f>StaffingPlan!K46</f>
        <v>280800</v>
      </c>
      <c r="H85" s="189">
        <f>StaffingPlan!O46</f>
        <v>343200</v>
      </c>
      <c r="I85" s="189">
        <f>StaffingPlan!S46</f>
        <v>390000</v>
      </c>
      <c r="J85" s="189">
        <f>StaffingPlan!W46</f>
        <v>436800</v>
      </c>
      <c r="K85" s="189">
        <f>StaffingPlan!AA46</f>
        <v>468000</v>
      </c>
      <c r="L85" s="37"/>
      <c r="M85" s="255"/>
      <c r="N85" s="178"/>
    </row>
    <row r="86" spans="1:14" ht="15.75" customHeight="1" x14ac:dyDescent="0.25">
      <c r="A86" s="173"/>
      <c r="B86" s="36"/>
      <c r="C86" s="234" t="s">
        <v>279</v>
      </c>
      <c r="D86" s="208"/>
      <c r="E86" s="37"/>
      <c r="F86" s="40"/>
      <c r="G86" s="189">
        <f>StaffingPlan!K47</f>
        <v>97500</v>
      </c>
      <c r="H86" s="189">
        <f>StaffingPlan!O47</f>
        <v>121437</v>
      </c>
      <c r="I86" s="189">
        <f>StaffingPlan!S47</f>
        <v>140675.34</v>
      </c>
      <c r="J86" s="189">
        <f>StaffingPlan!W47</f>
        <v>163581.23190000001</v>
      </c>
      <c r="K86" s="189">
        <f>StaffingPlan!AA47</f>
        <v>179631.20607600003</v>
      </c>
      <c r="L86" s="37"/>
      <c r="M86" s="255"/>
      <c r="N86" s="178"/>
    </row>
    <row r="87" spans="1:14" ht="15.75" customHeight="1" x14ac:dyDescent="0.25">
      <c r="A87" s="173"/>
      <c r="B87" s="36"/>
      <c r="C87" s="234" t="s">
        <v>280</v>
      </c>
      <c r="D87" s="208"/>
      <c r="E87" s="37"/>
      <c r="F87" s="40"/>
      <c r="G87" s="189" t="s">
        <v>94</v>
      </c>
      <c r="H87" s="189" t="s">
        <v>94</v>
      </c>
      <c r="I87" s="189" t="s">
        <v>94</v>
      </c>
      <c r="J87" s="189" t="s">
        <v>94</v>
      </c>
      <c r="K87" s="189" t="s">
        <v>94</v>
      </c>
      <c r="L87" s="37"/>
      <c r="M87" s="255"/>
      <c r="N87" s="178"/>
    </row>
    <row r="88" spans="1:14" ht="15.75" customHeight="1" x14ac:dyDescent="0.25">
      <c r="A88" s="173"/>
      <c r="B88" s="36"/>
      <c r="C88" s="36"/>
      <c r="D88" s="40"/>
      <c r="E88" s="37"/>
      <c r="F88" s="68"/>
      <c r="G88" s="68"/>
      <c r="H88" s="68"/>
      <c r="I88" s="68"/>
      <c r="J88" s="68"/>
      <c r="K88" s="68"/>
      <c r="L88" s="37"/>
      <c r="M88" s="255"/>
      <c r="N88" s="178"/>
    </row>
    <row r="89" spans="1:14" ht="15.75" customHeight="1" x14ac:dyDescent="0.25">
      <c r="A89" s="173"/>
      <c r="B89" s="185"/>
      <c r="C89" s="236" t="s">
        <v>281</v>
      </c>
      <c r="D89" s="208"/>
      <c r="E89" s="186"/>
      <c r="F89" s="187">
        <f>'Year 0 - Budget and Cash Flow'!R28</f>
        <v>86631.9</v>
      </c>
      <c r="G89" s="193">
        <f t="shared" ref="G89:K89" si="9">SUM(G84:G87)</f>
        <v>543237.5</v>
      </c>
      <c r="H89" s="193">
        <f t="shared" si="9"/>
        <v>670067.92500000005</v>
      </c>
      <c r="I89" s="193">
        <f t="shared" si="9"/>
        <v>768651.12349999999</v>
      </c>
      <c r="J89" s="193">
        <f t="shared" si="9"/>
        <v>877106.14919749997</v>
      </c>
      <c r="K89" s="193">
        <f t="shared" si="9"/>
        <v>951507.32968790003</v>
      </c>
      <c r="L89" s="43"/>
      <c r="M89" s="255"/>
      <c r="N89" s="178"/>
    </row>
    <row r="90" spans="1:14" ht="15.75" customHeight="1" x14ac:dyDescent="0.25">
      <c r="A90" s="173"/>
      <c r="B90" s="36"/>
      <c r="C90" s="36"/>
      <c r="D90" s="40"/>
      <c r="E90" s="37"/>
      <c r="F90" s="68"/>
      <c r="G90" s="68"/>
      <c r="H90" s="68"/>
      <c r="I90" s="68"/>
      <c r="J90" s="68"/>
      <c r="K90" s="68"/>
      <c r="L90" s="37"/>
      <c r="M90" s="255"/>
      <c r="N90" s="178"/>
    </row>
    <row r="91" spans="1:14" ht="15.75" customHeight="1" x14ac:dyDescent="0.25">
      <c r="A91" s="173"/>
      <c r="B91" s="185"/>
      <c r="C91" s="236" t="s">
        <v>101</v>
      </c>
      <c r="D91" s="208"/>
      <c r="E91" s="186"/>
      <c r="F91" s="187">
        <f>F89</f>
        <v>86631.9</v>
      </c>
      <c r="G91" s="193">
        <f t="shared" ref="G91:K91" si="10">SUM(G89,G81)</f>
        <v>2193237.5</v>
      </c>
      <c r="H91" s="193">
        <f t="shared" si="10"/>
        <v>2724017.9249999998</v>
      </c>
      <c r="I91" s="193">
        <f t="shared" si="10"/>
        <v>3148240.1234999998</v>
      </c>
      <c r="J91" s="193">
        <f t="shared" si="10"/>
        <v>3643460.0141975004</v>
      </c>
      <c r="K91" s="193">
        <f t="shared" si="10"/>
        <v>3990360.7642879006</v>
      </c>
      <c r="L91" s="43"/>
      <c r="M91" s="228"/>
      <c r="N91" s="178"/>
    </row>
    <row r="92" spans="1:14" ht="15.75" customHeight="1" x14ac:dyDescent="0.25">
      <c r="A92" s="173"/>
      <c r="B92" s="36"/>
      <c r="C92" s="36"/>
      <c r="D92" s="40"/>
      <c r="E92" s="37"/>
      <c r="F92" s="39"/>
      <c r="G92" s="39"/>
      <c r="H92" s="39"/>
      <c r="I92" s="39"/>
      <c r="J92" s="39"/>
      <c r="K92" s="39"/>
      <c r="L92" s="39"/>
      <c r="M92" s="196"/>
      <c r="N92" s="178"/>
    </row>
    <row r="93" spans="1:14" ht="15.75" customHeight="1" x14ac:dyDescent="0.25">
      <c r="A93" s="173"/>
      <c r="B93" s="89"/>
      <c r="C93" s="237" t="s">
        <v>102</v>
      </c>
      <c r="D93" s="208"/>
      <c r="E93" s="43"/>
      <c r="F93" s="177"/>
      <c r="G93" s="235"/>
      <c r="H93" s="225"/>
      <c r="I93" s="225"/>
      <c r="J93" s="225"/>
      <c r="K93" s="225"/>
      <c r="L93" s="37"/>
      <c r="M93" s="7"/>
      <c r="N93" s="182"/>
    </row>
    <row r="94" spans="1:14" ht="15.75" customHeight="1" x14ac:dyDescent="0.25">
      <c r="A94" s="173"/>
      <c r="B94" s="36"/>
      <c r="C94" s="234" t="s">
        <v>103</v>
      </c>
      <c r="D94" s="208"/>
      <c r="E94" s="40"/>
      <c r="F94" s="189">
        <f>'Year 0 - Budget and Cash Flow'!R33</f>
        <v>0</v>
      </c>
      <c r="G94" s="181">
        <f t="shared" ref="G94:K94" si="11">200*G7</f>
        <v>75200</v>
      </c>
      <c r="H94" s="181">
        <f t="shared" si="11"/>
        <v>86000</v>
      </c>
      <c r="I94" s="181">
        <f t="shared" si="11"/>
        <v>97200</v>
      </c>
      <c r="J94" s="181">
        <f t="shared" si="11"/>
        <v>107600</v>
      </c>
      <c r="K94" s="181">
        <f t="shared" si="11"/>
        <v>118400</v>
      </c>
      <c r="L94" s="37"/>
      <c r="M94" s="197" t="s">
        <v>282</v>
      </c>
      <c r="N94" s="178"/>
    </row>
    <row r="95" spans="1:14" ht="15.75" customHeight="1" x14ac:dyDescent="0.25">
      <c r="A95" s="173"/>
      <c r="B95" s="36"/>
      <c r="C95" s="234" t="s">
        <v>104</v>
      </c>
      <c r="D95" s="208"/>
      <c r="E95" s="40"/>
      <c r="F95" s="189">
        <f>'Year 0 - Budget and Cash Flow'!R34</f>
        <v>0</v>
      </c>
      <c r="G95" s="181">
        <v>5000</v>
      </c>
      <c r="H95" s="181">
        <v>10000</v>
      </c>
      <c r="I95" s="181">
        <v>10000</v>
      </c>
      <c r="J95" s="181">
        <v>10000</v>
      </c>
      <c r="K95" s="181">
        <v>10000</v>
      </c>
      <c r="L95" s="37"/>
      <c r="M95" s="191"/>
      <c r="N95" s="178"/>
    </row>
    <row r="96" spans="1:14" ht="15.75" customHeight="1" x14ac:dyDescent="0.25">
      <c r="A96" s="173"/>
      <c r="B96" s="36"/>
      <c r="C96" s="234" t="s">
        <v>105</v>
      </c>
      <c r="D96" s="208"/>
      <c r="E96" s="40"/>
      <c r="F96" s="189">
        <f>'Year 0 - Budget and Cash Flow'!R35</f>
        <v>25428.1</v>
      </c>
      <c r="G96" s="181">
        <v>25000</v>
      </c>
      <c r="H96" s="181">
        <v>10000</v>
      </c>
      <c r="I96" s="181">
        <v>10000</v>
      </c>
      <c r="J96" s="181">
        <v>10000</v>
      </c>
      <c r="K96" s="181">
        <v>10000</v>
      </c>
      <c r="L96" s="37"/>
      <c r="M96" s="191"/>
      <c r="N96" s="178"/>
    </row>
    <row r="97" spans="1:14" ht="15.75" customHeight="1" x14ac:dyDescent="0.25">
      <c r="A97" s="173"/>
      <c r="B97" s="36"/>
      <c r="C97" s="234" t="s">
        <v>106</v>
      </c>
      <c r="D97" s="208"/>
      <c r="E97" s="40"/>
      <c r="F97" s="189">
        <f>'Year 0 - Budget and Cash Flow'!R36</f>
        <v>0</v>
      </c>
      <c r="G97" s="181">
        <f t="shared" ref="G97:K97" si="12">15*G7</f>
        <v>5640</v>
      </c>
      <c r="H97" s="181">
        <f t="shared" si="12"/>
        <v>6450</v>
      </c>
      <c r="I97" s="181">
        <f t="shared" si="12"/>
        <v>7290</v>
      </c>
      <c r="J97" s="181">
        <f t="shared" si="12"/>
        <v>8070</v>
      </c>
      <c r="K97" s="181">
        <f t="shared" si="12"/>
        <v>8880</v>
      </c>
      <c r="L97" s="37"/>
      <c r="M97" s="191" t="s">
        <v>283</v>
      </c>
      <c r="N97" s="178"/>
    </row>
    <row r="98" spans="1:14" ht="15.75" customHeight="1" x14ac:dyDescent="0.25">
      <c r="A98" s="173"/>
      <c r="B98" s="36"/>
      <c r="C98" s="234" t="s">
        <v>107</v>
      </c>
      <c r="D98" s="208"/>
      <c r="E98" s="40"/>
      <c r="F98" s="189">
        <f>'Year 0 - Budget and Cash Flow'!R37</f>
        <v>0</v>
      </c>
      <c r="G98" s="181">
        <v>0</v>
      </c>
      <c r="H98" s="181" t="s">
        <v>94</v>
      </c>
      <c r="I98" s="181" t="s">
        <v>94</v>
      </c>
      <c r="J98" s="181" t="s">
        <v>94</v>
      </c>
      <c r="K98" s="181" t="s">
        <v>94</v>
      </c>
      <c r="L98" s="37"/>
      <c r="M98" s="191"/>
      <c r="N98" s="178"/>
    </row>
    <row r="99" spans="1:14" ht="15.75" customHeight="1" x14ac:dyDescent="0.25">
      <c r="A99" s="173"/>
      <c r="B99" s="36"/>
      <c r="C99" s="234" t="s">
        <v>108</v>
      </c>
      <c r="D99" s="208"/>
      <c r="E99" s="40"/>
      <c r="F99" s="189">
        <f>'Year 0 - Budget and Cash Flow'!R38</f>
        <v>0</v>
      </c>
      <c r="G99" s="181">
        <v>5000</v>
      </c>
      <c r="H99" s="181">
        <v>10000</v>
      </c>
      <c r="I99" s="181">
        <v>10000</v>
      </c>
      <c r="J99" s="181">
        <v>10000</v>
      </c>
      <c r="K99" s="181">
        <v>10000</v>
      </c>
      <c r="L99" s="37"/>
      <c r="M99" s="191"/>
      <c r="N99" s="178"/>
    </row>
    <row r="100" spans="1:14" ht="15.75" customHeight="1" x14ac:dyDescent="0.25">
      <c r="A100" s="173"/>
      <c r="B100" s="36"/>
      <c r="C100" s="234" t="s">
        <v>109</v>
      </c>
      <c r="D100" s="208"/>
      <c r="E100" s="40"/>
      <c r="F100" s="189">
        <f>'Year 0 - Budget and Cash Flow'!R39</f>
        <v>0</v>
      </c>
      <c r="G100" s="181">
        <v>5000</v>
      </c>
      <c r="H100" s="181">
        <v>10000</v>
      </c>
      <c r="I100" s="181">
        <v>15000</v>
      </c>
      <c r="J100" s="181">
        <v>15000</v>
      </c>
      <c r="K100" s="181">
        <v>15000</v>
      </c>
      <c r="L100" s="37"/>
      <c r="M100" s="191" t="s">
        <v>284</v>
      </c>
      <c r="N100" s="178"/>
    </row>
    <row r="101" spans="1:14" ht="15.75" customHeight="1" x14ac:dyDescent="0.25">
      <c r="A101" s="173"/>
      <c r="B101" s="36"/>
      <c r="C101" s="234" t="s">
        <v>110</v>
      </c>
      <c r="D101" s="208"/>
      <c r="E101" s="40"/>
      <c r="F101" s="189">
        <f>'Year 0 - Budget and Cash Flow'!R40</f>
        <v>0</v>
      </c>
      <c r="G101" s="181">
        <f t="shared" ref="G101:K101" si="13">185*G7</f>
        <v>69560</v>
      </c>
      <c r="H101" s="181">
        <f t="shared" si="13"/>
        <v>79550</v>
      </c>
      <c r="I101" s="181">
        <f t="shared" si="13"/>
        <v>89910</v>
      </c>
      <c r="J101" s="181">
        <f t="shared" si="13"/>
        <v>99530</v>
      </c>
      <c r="K101" s="181">
        <f t="shared" si="13"/>
        <v>109520</v>
      </c>
      <c r="L101" s="37"/>
      <c r="M101" s="192" t="s">
        <v>285</v>
      </c>
      <c r="N101" s="178"/>
    </row>
    <row r="102" spans="1:14" ht="15.75" customHeight="1" x14ac:dyDescent="0.25">
      <c r="A102" s="173"/>
      <c r="B102" s="36"/>
      <c r="C102" s="36"/>
      <c r="D102" s="40"/>
      <c r="E102" s="37"/>
      <c r="F102" s="68"/>
      <c r="G102" s="68"/>
      <c r="H102" s="68"/>
      <c r="I102" s="68"/>
      <c r="J102" s="68"/>
      <c r="K102" s="68"/>
      <c r="L102" s="37"/>
      <c r="M102" s="184"/>
      <c r="N102" s="178"/>
    </row>
    <row r="103" spans="1:14" ht="15.75" customHeight="1" x14ac:dyDescent="0.25">
      <c r="A103" s="173"/>
      <c r="B103" s="185"/>
      <c r="C103" s="236" t="s">
        <v>111</v>
      </c>
      <c r="D103" s="208"/>
      <c r="E103" s="186"/>
      <c r="F103" s="187">
        <f t="shared" ref="F103:K103" si="14">SUM(F94:F101)</f>
        <v>25428.1</v>
      </c>
      <c r="G103" s="187">
        <f t="shared" si="14"/>
        <v>190400</v>
      </c>
      <c r="H103" s="187">
        <f t="shared" si="14"/>
        <v>212000</v>
      </c>
      <c r="I103" s="187">
        <f t="shared" si="14"/>
        <v>239400</v>
      </c>
      <c r="J103" s="187">
        <f t="shared" si="14"/>
        <v>260200</v>
      </c>
      <c r="K103" s="187">
        <f t="shared" si="14"/>
        <v>281800</v>
      </c>
      <c r="L103" s="43"/>
      <c r="M103" s="184"/>
      <c r="N103" s="178"/>
    </row>
    <row r="104" spans="1:14" ht="15.75" customHeight="1" x14ac:dyDescent="0.25">
      <c r="A104" s="173"/>
      <c r="B104" s="36"/>
      <c r="C104" s="36"/>
      <c r="D104" s="40"/>
      <c r="E104" s="37"/>
      <c r="F104" s="37"/>
      <c r="G104" s="37"/>
      <c r="H104" s="37"/>
      <c r="I104" s="37"/>
      <c r="J104" s="37"/>
      <c r="K104" s="37"/>
      <c r="L104" s="37"/>
      <c r="M104" s="184"/>
      <c r="N104" s="178"/>
    </row>
    <row r="105" spans="1:14" ht="15.75" customHeight="1" x14ac:dyDescent="0.25">
      <c r="A105" s="173"/>
      <c r="B105" s="89"/>
      <c r="C105" s="237" t="s">
        <v>112</v>
      </c>
      <c r="D105" s="208"/>
      <c r="E105" s="43"/>
      <c r="F105" s="177"/>
      <c r="G105" s="198"/>
      <c r="H105" s="68"/>
      <c r="I105" s="68"/>
      <c r="J105" s="68"/>
      <c r="K105" s="68"/>
      <c r="L105" s="37"/>
      <c r="M105" s="56"/>
      <c r="N105" s="182"/>
    </row>
    <row r="106" spans="1:14" ht="15.75" customHeight="1" x14ac:dyDescent="0.25">
      <c r="A106" s="173"/>
      <c r="B106" s="36"/>
      <c r="C106" s="234" t="s">
        <v>113</v>
      </c>
      <c r="D106" s="208"/>
      <c r="E106" s="40"/>
      <c r="F106" s="189">
        <f>'Year 0 - Budget and Cash Flow'!R45</f>
        <v>1200</v>
      </c>
      <c r="G106" s="181">
        <v>15000</v>
      </c>
      <c r="H106" s="181">
        <v>10000</v>
      </c>
      <c r="I106" s="181">
        <v>10000</v>
      </c>
      <c r="J106" s="181">
        <v>10000</v>
      </c>
      <c r="K106" s="181">
        <v>10000</v>
      </c>
      <c r="L106" s="37"/>
      <c r="M106" s="257"/>
      <c r="N106" s="178"/>
    </row>
    <row r="107" spans="1:14" ht="15.75" customHeight="1" x14ac:dyDescent="0.25">
      <c r="A107" s="173"/>
      <c r="B107" s="36"/>
      <c r="C107" s="234" t="s">
        <v>286</v>
      </c>
      <c r="D107" s="208"/>
      <c r="E107" s="40"/>
      <c r="F107" s="189">
        <f>'Year 0 - Budget and Cash Flow'!R46</f>
        <v>0</v>
      </c>
      <c r="G107" s="181" t="s">
        <v>94</v>
      </c>
      <c r="H107" s="181" t="s">
        <v>94</v>
      </c>
      <c r="I107" s="181" t="s">
        <v>94</v>
      </c>
      <c r="J107" s="181" t="s">
        <v>94</v>
      </c>
      <c r="K107" s="181" t="s">
        <v>94</v>
      </c>
      <c r="L107" s="37"/>
      <c r="M107" s="255"/>
      <c r="N107" s="199"/>
    </row>
    <row r="108" spans="1:14" ht="15.75" customHeight="1" x14ac:dyDescent="0.25">
      <c r="A108" s="173"/>
      <c r="B108" s="36"/>
      <c r="C108" s="36"/>
      <c r="D108" s="40"/>
      <c r="E108" s="37"/>
      <c r="F108" s="68"/>
      <c r="G108" s="68"/>
      <c r="H108" s="68"/>
      <c r="I108" s="68"/>
      <c r="J108" s="68"/>
      <c r="K108" s="68"/>
      <c r="L108" s="37"/>
      <c r="M108" s="255"/>
      <c r="N108" s="178"/>
    </row>
    <row r="109" spans="1:14" ht="15.75" customHeight="1" x14ac:dyDescent="0.25">
      <c r="A109" s="173"/>
      <c r="B109" s="185"/>
      <c r="C109" s="236" t="s">
        <v>115</v>
      </c>
      <c r="D109" s="208"/>
      <c r="E109" s="186"/>
      <c r="F109" s="187">
        <f t="shared" ref="F109:K109" si="15">SUM(F106:F107)</f>
        <v>1200</v>
      </c>
      <c r="G109" s="187">
        <f t="shared" si="15"/>
        <v>15000</v>
      </c>
      <c r="H109" s="187">
        <f t="shared" si="15"/>
        <v>10000</v>
      </c>
      <c r="I109" s="187">
        <f t="shared" si="15"/>
        <v>10000</v>
      </c>
      <c r="J109" s="187">
        <f t="shared" si="15"/>
        <v>10000</v>
      </c>
      <c r="K109" s="187">
        <f t="shared" si="15"/>
        <v>10000</v>
      </c>
      <c r="L109" s="43"/>
      <c r="M109" s="228"/>
      <c r="N109" s="178"/>
    </row>
    <row r="110" spans="1:14" ht="15.75" customHeight="1" x14ac:dyDescent="0.25">
      <c r="A110" s="173"/>
      <c r="B110" s="36"/>
      <c r="C110" s="36"/>
      <c r="D110" s="40"/>
      <c r="E110" s="37"/>
      <c r="F110" s="37"/>
      <c r="G110" s="37"/>
      <c r="H110" s="37"/>
      <c r="I110" s="37"/>
      <c r="J110" s="37"/>
      <c r="K110" s="37"/>
      <c r="L110" s="37"/>
      <c r="M110" s="184"/>
      <c r="N110" s="178"/>
    </row>
    <row r="111" spans="1:14" ht="15.75" customHeight="1" x14ac:dyDescent="0.25">
      <c r="A111" s="173"/>
      <c r="B111" s="89"/>
      <c r="C111" s="237" t="s">
        <v>116</v>
      </c>
      <c r="D111" s="208"/>
      <c r="E111" s="43"/>
      <c r="F111" s="177"/>
      <c r="G111" s="177"/>
      <c r="H111" s="177"/>
      <c r="I111" s="177"/>
      <c r="J111" s="177"/>
      <c r="K111" s="68"/>
      <c r="L111" s="37"/>
      <c r="M111" s="56"/>
      <c r="N111" s="178"/>
    </row>
    <row r="112" spans="1:14" ht="15.75" customHeight="1" x14ac:dyDescent="0.25">
      <c r="A112" s="173"/>
      <c r="B112" s="36"/>
      <c r="C112" s="234" t="s">
        <v>117</v>
      </c>
      <c r="D112" s="208"/>
      <c r="E112" s="40"/>
      <c r="F112" s="189">
        <f>'Year 0 - Budget and Cash Flow'!R51</f>
        <v>10000</v>
      </c>
      <c r="G112" s="181">
        <v>5000</v>
      </c>
      <c r="H112" s="181">
        <v>5000</v>
      </c>
      <c r="I112" s="181">
        <v>5000</v>
      </c>
      <c r="J112" s="181">
        <v>5000</v>
      </c>
      <c r="K112" s="181">
        <v>5000</v>
      </c>
      <c r="L112" s="37"/>
      <c r="M112" s="257"/>
      <c r="N112" s="178"/>
    </row>
    <row r="113" spans="1:14" ht="15.75" customHeight="1" x14ac:dyDescent="0.25">
      <c r="A113" s="173"/>
      <c r="B113" s="36"/>
      <c r="C113" s="234" t="s">
        <v>287</v>
      </c>
      <c r="D113" s="208"/>
      <c r="E113" s="40"/>
      <c r="F113" s="189">
        <f>'Year 0 - Budget and Cash Flow'!R52</f>
        <v>0</v>
      </c>
      <c r="G113" s="181">
        <v>0</v>
      </c>
      <c r="H113" s="181">
        <v>0</v>
      </c>
      <c r="I113" s="181">
        <v>0</v>
      </c>
      <c r="J113" s="181">
        <v>0</v>
      </c>
      <c r="K113" s="181">
        <v>0</v>
      </c>
      <c r="L113" s="37"/>
      <c r="M113" s="255"/>
      <c r="N113" s="178"/>
    </row>
    <row r="114" spans="1:14" ht="15.75" customHeight="1" x14ac:dyDescent="0.25">
      <c r="A114" s="173"/>
      <c r="B114" s="36"/>
      <c r="C114" s="36"/>
      <c r="D114" s="40"/>
      <c r="E114" s="37"/>
      <c r="F114" s="68"/>
      <c r="G114" s="68"/>
      <c r="H114" s="68"/>
      <c r="I114" s="68"/>
      <c r="J114" s="68"/>
      <c r="K114" s="68"/>
      <c r="L114" s="37"/>
      <c r="M114" s="255"/>
      <c r="N114" s="178"/>
    </row>
    <row r="115" spans="1:14" ht="15.75" customHeight="1" x14ac:dyDescent="0.25">
      <c r="A115" s="173"/>
      <c r="B115" s="185"/>
      <c r="C115" s="236" t="s">
        <v>119</v>
      </c>
      <c r="D115" s="208"/>
      <c r="E115" s="186"/>
      <c r="F115" s="187">
        <f t="shared" ref="F115:K115" si="16">SUM(F112:F113)</f>
        <v>10000</v>
      </c>
      <c r="G115" s="187">
        <f t="shared" si="16"/>
        <v>5000</v>
      </c>
      <c r="H115" s="187">
        <f t="shared" si="16"/>
        <v>5000</v>
      </c>
      <c r="I115" s="187">
        <f t="shared" si="16"/>
        <v>5000</v>
      </c>
      <c r="J115" s="187">
        <f t="shared" si="16"/>
        <v>5000</v>
      </c>
      <c r="K115" s="187">
        <f t="shared" si="16"/>
        <v>5000</v>
      </c>
      <c r="L115" s="43"/>
      <c r="M115" s="228"/>
      <c r="N115" s="178"/>
    </row>
    <row r="116" spans="1:14" ht="15.75" customHeight="1" x14ac:dyDescent="0.25">
      <c r="A116" s="173"/>
      <c r="B116" s="36"/>
      <c r="C116" s="36"/>
      <c r="D116" s="40"/>
      <c r="E116" s="37"/>
      <c r="F116" s="37"/>
      <c r="G116" s="37"/>
      <c r="H116" s="37"/>
      <c r="I116" s="37"/>
      <c r="J116" s="37"/>
      <c r="K116" s="37"/>
      <c r="L116" s="37"/>
      <c r="M116" s="184"/>
      <c r="N116" s="178"/>
    </row>
    <row r="117" spans="1:14" ht="15.75" customHeight="1" x14ac:dyDescent="0.25">
      <c r="A117" s="173"/>
      <c r="B117" s="89"/>
      <c r="C117" s="237" t="s">
        <v>120</v>
      </c>
      <c r="D117" s="208"/>
      <c r="E117" s="43"/>
      <c r="F117" s="177"/>
      <c r="G117" s="177"/>
      <c r="H117" s="68"/>
      <c r="I117" s="68"/>
      <c r="J117" s="68"/>
      <c r="K117" s="68"/>
      <c r="L117" s="37"/>
      <c r="M117" s="200"/>
      <c r="N117" s="40"/>
    </row>
    <row r="118" spans="1:14" ht="15.75" customHeight="1" x14ac:dyDescent="0.25">
      <c r="A118" s="173"/>
      <c r="B118" s="36"/>
      <c r="C118" s="234" t="s">
        <v>121</v>
      </c>
      <c r="D118" s="208"/>
      <c r="E118" s="40"/>
      <c r="F118" s="189">
        <f>'Year 0 - Budget and Cash Flow'!R57</f>
        <v>0</v>
      </c>
      <c r="G118" s="181">
        <v>12000</v>
      </c>
      <c r="H118" s="181">
        <f t="shared" ref="H118:K118" si="17">G118*1.03</f>
        <v>12360</v>
      </c>
      <c r="I118" s="181">
        <f t="shared" si="17"/>
        <v>12730.800000000001</v>
      </c>
      <c r="J118" s="181">
        <f t="shared" si="17"/>
        <v>13112.724000000002</v>
      </c>
      <c r="K118" s="181">
        <f t="shared" si="17"/>
        <v>13506.105720000003</v>
      </c>
      <c r="L118" s="40"/>
      <c r="M118" s="191"/>
      <c r="N118" s="178"/>
    </row>
    <row r="119" spans="1:14" ht="15.75" customHeight="1" x14ac:dyDescent="0.25">
      <c r="A119" s="173"/>
      <c r="B119" s="36"/>
      <c r="C119" s="234" t="s">
        <v>122</v>
      </c>
      <c r="D119" s="208"/>
      <c r="E119" s="40"/>
      <c r="F119" s="189">
        <f>'Year 0 - Budget and Cash Flow'!R58</f>
        <v>0</v>
      </c>
      <c r="G119" s="181">
        <v>0</v>
      </c>
      <c r="H119" s="181">
        <v>0</v>
      </c>
      <c r="I119" s="181">
        <v>0</v>
      </c>
      <c r="J119" s="181">
        <v>0</v>
      </c>
      <c r="K119" s="181">
        <v>0</v>
      </c>
      <c r="L119" s="40"/>
      <c r="M119" s="191"/>
      <c r="N119" s="178"/>
    </row>
    <row r="120" spans="1:14" ht="15.75" customHeight="1" x14ac:dyDescent="0.25">
      <c r="A120" s="173"/>
      <c r="B120" s="36"/>
      <c r="C120" s="234" t="s">
        <v>123</v>
      </c>
      <c r="D120" s="208"/>
      <c r="E120" s="40"/>
      <c r="F120" s="189">
        <f>'Year 0 - Budget and Cash Flow'!R59</f>
        <v>0</v>
      </c>
      <c r="G120" s="181">
        <v>0</v>
      </c>
      <c r="H120" s="181">
        <v>0</v>
      </c>
      <c r="I120" s="181">
        <v>0</v>
      </c>
      <c r="J120" s="181">
        <v>0</v>
      </c>
      <c r="K120" s="181">
        <v>0</v>
      </c>
      <c r="L120" s="40"/>
      <c r="M120" s="191" t="s">
        <v>288</v>
      </c>
      <c r="N120" s="178"/>
    </row>
    <row r="121" spans="1:14" ht="15.75" customHeight="1" x14ac:dyDescent="0.25">
      <c r="A121" s="173"/>
      <c r="B121" s="36"/>
      <c r="C121" s="234" t="s">
        <v>124</v>
      </c>
      <c r="D121" s="208"/>
      <c r="E121" s="40"/>
      <c r="F121" s="189">
        <f>'Year 0 - Budget and Cash Flow'!R60</f>
        <v>0</v>
      </c>
      <c r="G121" s="181">
        <v>12000</v>
      </c>
      <c r="H121" s="181">
        <v>12000</v>
      </c>
      <c r="I121" s="181">
        <v>12000</v>
      </c>
      <c r="J121" s="181">
        <v>12000</v>
      </c>
      <c r="K121" s="181">
        <v>12000</v>
      </c>
      <c r="L121" s="40"/>
      <c r="M121" s="191"/>
      <c r="N121" s="178"/>
    </row>
    <row r="122" spans="1:14" ht="15.75" customHeight="1" x14ac:dyDescent="0.25">
      <c r="A122" s="173"/>
      <c r="B122" s="36"/>
      <c r="C122" s="234" t="s">
        <v>125</v>
      </c>
      <c r="D122" s="208"/>
      <c r="E122" s="40"/>
      <c r="F122" s="189">
        <f>'Year 0 - Budget and Cash Flow'!R61</f>
        <v>0</v>
      </c>
      <c r="G122" s="181">
        <v>5000</v>
      </c>
      <c r="H122" s="181">
        <v>6000</v>
      </c>
      <c r="I122" s="181">
        <v>7000</v>
      </c>
      <c r="J122" s="181">
        <v>8000</v>
      </c>
      <c r="K122" s="181">
        <v>9000</v>
      </c>
      <c r="L122" s="40"/>
      <c r="M122" s="191"/>
      <c r="N122" s="178"/>
    </row>
    <row r="123" spans="1:14" ht="15.75" customHeight="1" x14ac:dyDescent="0.25">
      <c r="A123" s="173"/>
      <c r="B123" s="36"/>
      <c r="C123" s="234" t="s">
        <v>126</v>
      </c>
      <c r="D123" s="208"/>
      <c r="E123" s="40"/>
      <c r="F123" s="189">
        <f>'Year 0 - Budget and Cash Flow'!R62</f>
        <v>0</v>
      </c>
      <c r="G123" s="181">
        <v>35000</v>
      </c>
      <c r="H123" s="181">
        <f t="shared" ref="H123:K123" si="18">G123*1.015</f>
        <v>35525</v>
      </c>
      <c r="I123" s="181">
        <f t="shared" si="18"/>
        <v>36057.875</v>
      </c>
      <c r="J123" s="181">
        <f t="shared" si="18"/>
        <v>36598.743124999994</v>
      </c>
      <c r="K123" s="181">
        <f t="shared" si="18"/>
        <v>37147.724271874991</v>
      </c>
      <c r="L123" s="40"/>
      <c r="M123" s="191"/>
      <c r="N123" s="178"/>
    </row>
    <row r="124" spans="1:14" ht="15.75" customHeight="1" x14ac:dyDescent="0.25">
      <c r="A124" s="173"/>
      <c r="B124" s="36"/>
      <c r="C124" s="234" t="s">
        <v>127</v>
      </c>
      <c r="D124" s="208"/>
      <c r="E124" s="40"/>
      <c r="F124" s="189">
        <f>'Year 0 - Budget and Cash Flow'!R63</f>
        <v>0</v>
      </c>
      <c r="G124" s="181">
        <v>2000</v>
      </c>
      <c r="H124" s="181">
        <v>2500</v>
      </c>
      <c r="I124" s="181">
        <v>3000</v>
      </c>
      <c r="J124" s="181">
        <v>3000</v>
      </c>
      <c r="K124" s="181">
        <v>3000</v>
      </c>
      <c r="L124" s="40"/>
      <c r="M124" s="191"/>
      <c r="N124" s="178"/>
    </row>
    <row r="125" spans="1:14" ht="15.75" customHeight="1" x14ac:dyDescent="0.25">
      <c r="A125" s="173"/>
      <c r="B125" s="36"/>
      <c r="C125" s="234" t="s">
        <v>128</v>
      </c>
      <c r="D125" s="208"/>
      <c r="E125" s="40"/>
      <c r="F125" s="189">
        <f>'Year 0 - Budget and Cash Flow'!R64</f>
        <v>240</v>
      </c>
      <c r="G125" s="181">
        <v>1200</v>
      </c>
      <c r="H125" s="181">
        <v>1200</v>
      </c>
      <c r="I125" s="181">
        <v>1200</v>
      </c>
      <c r="J125" s="181">
        <v>1200</v>
      </c>
      <c r="K125" s="181">
        <v>1200</v>
      </c>
      <c r="L125" s="40"/>
      <c r="M125" s="191"/>
      <c r="N125" s="178"/>
    </row>
    <row r="126" spans="1:14" ht="15.75" customHeight="1" x14ac:dyDescent="0.25">
      <c r="A126" s="173"/>
      <c r="B126" s="36"/>
      <c r="C126" s="234" t="s">
        <v>129</v>
      </c>
      <c r="D126" s="208"/>
      <c r="E126" s="40"/>
      <c r="F126" s="189">
        <f>'Year 0 - Budget and Cash Flow'!R65</f>
        <v>0</v>
      </c>
      <c r="G126" s="181" t="s">
        <v>94</v>
      </c>
      <c r="H126" s="181" t="s">
        <v>94</v>
      </c>
      <c r="I126" s="181" t="s">
        <v>94</v>
      </c>
      <c r="J126" s="181" t="s">
        <v>94</v>
      </c>
      <c r="K126" s="181" t="s">
        <v>94</v>
      </c>
      <c r="L126" s="40"/>
      <c r="M126" s="191" t="s">
        <v>288</v>
      </c>
      <c r="N126" s="178"/>
    </row>
    <row r="127" spans="1:14" ht="15.75" customHeight="1" x14ac:dyDescent="0.25">
      <c r="A127" s="173"/>
      <c r="B127" s="36"/>
      <c r="C127" s="234" t="s">
        <v>289</v>
      </c>
      <c r="D127" s="208"/>
      <c r="E127" s="40"/>
      <c r="F127" s="189">
        <f>'Year 0 - Budget and Cash Flow'!R66</f>
        <v>0</v>
      </c>
      <c r="G127" s="181">
        <v>6000</v>
      </c>
      <c r="H127" s="181">
        <v>6500</v>
      </c>
      <c r="I127" s="181">
        <v>7000</v>
      </c>
      <c r="J127" s="181">
        <v>7500</v>
      </c>
      <c r="K127" s="181">
        <v>8000</v>
      </c>
      <c r="L127" s="40"/>
      <c r="M127" s="191"/>
      <c r="N127" s="178"/>
    </row>
    <row r="128" spans="1:14" ht="15.75" customHeight="1" x14ac:dyDescent="0.25">
      <c r="A128" s="173"/>
      <c r="B128" s="36"/>
      <c r="C128" s="234" t="s">
        <v>131</v>
      </c>
      <c r="D128" s="208"/>
      <c r="E128" s="40"/>
      <c r="F128" s="189">
        <f>'Year 0 - Budget and Cash Flow'!R67</f>
        <v>0</v>
      </c>
      <c r="G128" s="181">
        <v>0</v>
      </c>
      <c r="H128" s="181">
        <v>0</v>
      </c>
      <c r="I128" s="181">
        <v>0</v>
      </c>
      <c r="J128" s="181">
        <v>0</v>
      </c>
      <c r="K128" s="181">
        <v>0</v>
      </c>
      <c r="L128" s="40"/>
      <c r="M128" s="191"/>
      <c r="N128" s="178"/>
    </row>
    <row r="129" spans="1:14" ht="15.75" customHeight="1" x14ac:dyDescent="0.25">
      <c r="A129" s="173"/>
      <c r="B129" s="36"/>
      <c r="C129" s="234" t="s">
        <v>132</v>
      </c>
      <c r="D129" s="208"/>
      <c r="E129" s="40"/>
      <c r="F129" s="189">
        <f>'Year 0 - Budget and Cash Flow'!R68</f>
        <v>0</v>
      </c>
      <c r="G129" s="181">
        <v>0</v>
      </c>
      <c r="H129" s="181">
        <v>0</v>
      </c>
      <c r="I129" s="181">
        <v>0</v>
      </c>
      <c r="J129" s="181">
        <v>0</v>
      </c>
      <c r="K129" s="181">
        <v>0</v>
      </c>
      <c r="L129" s="40"/>
      <c r="M129" s="191"/>
      <c r="N129" s="178"/>
    </row>
    <row r="130" spans="1:14" ht="15.75" customHeight="1" x14ac:dyDescent="0.25">
      <c r="A130" s="173"/>
      <c r="B130" s="36"/>
      <c r="C130" s="234" t="s">
        <v>133</v>
      </c>
      <c r="D130" s="208"/>
      <c r="E130" s="40"/>
      <c r="F130" s="189">
        <f>'Year 0 - Budget and Cash Flow'!R69</f>
        <v>11500</v>
      </c>
      <c r="G130" s="181">
        <v>5000</v>
      </c>
      <c r="H130" s="181">
        <v>5000</v>
      </c>
      <c r="I130" s="181">
        <v>5000</v>
      </c>
      <c r="J130" s="181">
        <v>5000</v>
      </c>
      <c r="K130" s="181">
        <v>5000</v>
      </c>
      <c r="L130" s="40"/>
      <c r="M130" s="191"/>
      <c r="N130" s="178"/>
    </row>
    <row r="131" spans="1:14" ht="15.75" customHeight="1" x14ac:dyDescent="0.25">
      <c r="A131" s="173"/>
      <c r="B131" s="36"/>
      <c r="C131" s="234" t="s">
        <v>290</v>
      </c>
      <c r="D131" s="208"/>
      <c r="E131" s="40"/>
      <c r="F131" s="189">
        <f>'Year 0 - Budget and Cash Flow'!R70</f>
        <v>0</v>
      </c>
      <c r="G131" s="181">
        <v>98296</v>
      </c>
      <c r="H131" s="181">
        <v>98296</v>
      </c>
      <c r="I131" s="181">
        <v>97296</v>
      </c>
      <c r="J131" s="181">
        <v>97296</v>
      </c>
      <c r="K131" s="181">
        <v>97296</v>
      </c>
      <c r="L131" s="40"/>
      <c r="M131" s="192"/>
      <c r="N131" s="178"/>
    </row>
    <row r="132" spans="1:14" ht="15.75" customHeight="1" x14ac:dyDescent="0.25">
      <c r="A132" s="173"/>
      <c r="B132" s="36"/>
      <c r="C132" s="36"/>
      <c r="D132" s="40"/>
      <c r="E132" s="37"/>
      <c r="F132" s="68"/>
      <c r="G132" s="68"/>
      <c r="H132" s="68"/>
      <c r="I132" s="68"/>
      <c r="J132" s="68"/>
      <c r="K132" s="68"/>
      <c r="L132" s="37"/>
      <c r="M132" s="184"/>
      <c r="N132" s="178"/>
    </row>
    <row r="133" spans="1:14" ht="15.75" customHeight="1" x14ac:dyDescent="0.25">
      <c r="A133" s="173"/>
      <c r="B133" s="185"/>
      <c r="C133" s="236" t="s">
        <v>135</v>
      </c>
      <c r="D133" s="208"/>
      <c r="E133" s="186"/>
      <c r="F133" s="187">
        <f t="shared" ref="F133:K133" si="19">SUM(F118:F131)</f>
        <v>11740</v>
      </c>
      <c r="G133" s="187">
        <f t="shared" si="19"/>
        <v>176496</v>
      </c>
      <c r="H133" s="187">
        <f t="shared" si="19"/>
        <v>179381</v>
      </c>
      <c r="I133" s="187">
        <f t="shared" si="19"/>
        <v>181284.67499999999</v>
      </c>
      <c r="J133" s="187">
        <f t="shared" si="19"/>
        <v>183707.467125</v>
      </c>
      <c r="K133" s="187">
        <f t="shared" si="19"/>
        <v>186149.82999187498</v>
      </c>
      <c r="L133" s="43"/>
      <c r="M133" s="184"/>
      <c r="N133" s="178"/>
    </row>
    <row r="134" spans="1:14" ht="15.75" customHeight="1" x14ac:dyDescent="0.25">
      <c r="A134" s="173"/>
      <c r="B134" s="36"/>
      <c r="C134" s="36"/>
      <c r="D134" s="40"/>
      <c r="E134" s="37"/>
      <c r="F134" s="43"/>
      <c r="G134" s="43"/>
      <c r="H134" s="43"/>
      <c r="I134" s="43"/>
      <c r="J134" s="43"/>
      <c r="K134" s="43"/>
      <c r="L134" s="43"/>
      <c r="M134" s="184"/>
      <c r="N134" s="178"/>
    </row>
    <row r="135" spans="1:14" ht="15.75" customHeight="1" x14ac:dyDescent="0.25">
      <c r="A135" s="173"/>
      <c r="B135" s="89"/>
      <c r="C135" s="237" t="s">
        <v>136</v>
      </c>
      <c r="D135" s="208"/>
      <c r="E135" s="43"/>
      <c r="F135" s="177"/>
      <c r="G135" s="177"/>
      <c r="H135" s="68"/>
      <c r="I135" s="68"/>
      <c r="J135" s="68"/>
      <c r="K135" s="68"/>
      <c r="L135" s="37"/>
      <c r="M135" s="200"/>
      <c r="N135" s="40"/>
    </row>
    <row r="136" spans="1:14" ht="15.75" customHeight="1" x14ac:dyDescent="0.25">
      <c r="A136" s="173"/>
      <c r="B136" s="36"/>
      <c r="C136" s="234" t="s">
        <v>137</v>
      </c>
      <c r="D136" s="208"/>
      <c r="E136" s="40"/>
      <c r="F136" s="189">
        <f>'Year 0 - Budget and Cash Flow'!R75</f>
        <v>0</v>
      </c>
      <c r="G136" s="181" t="s">
        <v>94</v>
      </c>
      <c r="H136" s="181" t="s">
        <v>94</v>
      </c>
      <c r="I136" s="181" t="s">
        <v>94</v>
      </c>
      <c r="J136" s="181" t="s">
        <v>94</v>
      </c>
      <c r="K136" s="181" t="s">
        <v>94</v>
      </c>
      <c r="L136" s="40"/>
      <c r="M136" s="191"/>
      <c r="N136" s="178"/>
    </row>
    <row r="137" spans="1:14" ht="15.75" customHeight="1" x14ac:dyDescent="0.25">
      <c r="A137" s="173"/>
      <c r="B137" s="36"/>
      <c r="C137" s="234" t="s">
        <v>138</v>
      </c>
      <c r="D137" s="208"/>
      <c r="E137" s="40"/>
      <c r="F137" s="189">
        <f>'Year 0 - Budget and Cash Flow'!R76</f>
        <v>80000</v>
      </c>
      <c r="G137" s="181">
        <v>0</v>
      </c>
      <c r="H137" s="181">
        <v>0</v>
      </c>
      <c r="I137" s="181">
        <v>50000</v>
      </c>
      <c r="J137" s="181">
        <v>0</v>
      </c>
      <c r="K137" s="181">
        <v>100000</v>
      </c>
      <c r="L137" s="40"/>
      <c r="M137" s="191"/>
      <c r="N137" s="178"/>
    </row>
    <row r="138" spans="1:14" ht="15.75" customHeight="1" x14ac:dyDescent="0.25">
      <c r="A138" s="173"/>
      <c r="B138" s="36"/>
      <c r="C138" s="36" t="s">
        <v>139</v>
      </c>
      <c r="D138" s="40"/>
      <c r="E138" s="40"/>
      <c r="F138" s="189">
        <f>'Year 0 - Budget and Cash Flow'!R77</f>
        <v>0</v>
      </c>
      <c r="G138" s="181" t="s">
        <v>94</v>
      </c>
      <c r="H138" s="181" t="s">
        <v>94</v>
      </c>
      <c r="I138" s="181" t="s">
        <v>94</v>
      </c>
      <c r="J138" s="181" t="s">
        <v>94</v>
      </c>
      <c r="K138" s="181" t="s">
        <v>94</v>
      </c>
      <c r="L138" s="40"/>
      <c r="M138" s="191"/>
      <c r="N138" s="178"/>
    </row>
    <row r="139" spans="1:14" ht="15.75" customHeight="1" x14ac:dyDescent="0.25">
      <c r="A139" s="173"/>
      <c r="B139" s="36"/>
      <c r="C139" s="36" t="s">
        <v>140</v>
      </c>
      <c r="D139" s="40"/>
      <c r="E139" s="40"/>
      <c r="F139" s="189">
        <f>'Year 0 - Budget and Cash Flow'!R78</f>
        <v>0</v>
      </c>
      <c r="G139" s="201">
        <v>415000</v>
      </c>
      <c r="H139" s="181">
        <v>415000</v>
      </c>
      <c r="I139" s="181">
        <v>435000</v>
      </c>
      <c r="J139" s="181">
        <v>465000</v>
      </c>
      <c r="K139" s="181">
        <v>515000</v>
      </c>
      <c r="L139" s="40"/>
      <c r="M139" s="202" t="s">
        <v>291</v>
      </c>
      <c r="N139" s="178"/>
    </row>
    <row r="140" spans="1:14" ht="15.75" customHeight="1" x14ac:dyDescent="0.25">
      <c r="A140" s="173"/>
      <c r="B140" s="36"/>
      <c r="C140" s="36" t="s">
        <v>141</v>
      </c>
      <c r="D140" s="40"/>
      <c r="E140" s="40"/>
      <c r="F140" s="189">
        <f>'Year 0 - Budget and Cash Flow'!R79</f>
        <v>0</v>
      </c>
      <c r="G140" s="181" t="s">
        <v>94</v>
      </c>
      <c r="H140" s="181" t="s">
        <v>94</v>
      </c>
      <c r="I140" s="181" t="s">
        <v>94</v>
      </c>
      <c r="J140" s="181" t="s">
        <v>94</v>
      </c>
      <c r="K140" s="181" t="s">
        <v>94</v>
      </c>
      <c r="L140" s="40"/>
      <c r="M140" s="191"/>
      <c r="N140" s="178"/>
    </row>
    <row r="141" spans="1:14" ht="15.75" customHeight="1" x14ac:dyDescent="0.25">
      <c r="A141" s="173"/>
      <c r="B141" s="36"/>
      <c r="C141" s="36" t="s">
        <v>142</v>
      </c>
      <c r="D141" s="40"/>
      <c r="E141" s="40"/>
      <c r="F141" s="189">
        <f>'Year 0 - Budget and Cash Flow'!R80</f>
        <v>0</v>
      </c>
      <c r="G141" s="181" t="s">
        <v>94</v>
      </c>
      <c r="H141" s="181" t="s">
        <v>94</v>
      </c>
      <c r="I141" s="181" t="s">
        <v>94</v>
      </c>
      <c r="J141" s="181" t="s">
        <v>94</v>
      </c>
      <c r="K141" s="181" t="s">
        <v>94</v>
      </c>
      <c r="L141" s="40"/>
      <c r="M141" s="191"/>
      <c r="N141" s="178"/>
    </row>
    <row r="142" spans="1:14" ht="15.75" customHeight="1" x14ac:dyDescent="0.25">
      <c r="A142" s="173"/>
      <c r="B142" s="36"/>
      <c r="C142" s="36" t="s">
        <v>143</v>
      </c>
      <c r="D142" s="40"/>
      <c r="E142" s="40"/>
      <c r="F142" s="189">
        <f>'Year 0 - Budget and Cash Flow'!R81</f>
        <v>0</v>
      </c>
      <c r="G142" s="181" t="s">
        <v>94</v>
      </c>
      <c r="H142" s="181" t="s">
        <v>94</v>
      </c>
      <c r="I142" s="181" t="s">
        <v>94</v>
      </c>
      <c r="J142" s="181" t="s">
        <v>94</v>
      </c>
      <c r="K142" s="181" t="s">
        <v>94</v>
      </c>
      <c r="L142" s="40"/>
      <c r="M142" s="191"/>
      <c r="N142" s="178"/>
    </row>
    <row r="143" spans="1:14" ht="15.75" customHeight="1" x14ac:dyDescent="0.25">
      <c r="A143" s="173"/>
      <c r="B143" s="36"/>
      <c r="C143" s="36" t="s">
        <v>144</v>
      </c>
      <c r="D143" s="40"/>
      <c r="E143" s="40"/>
      <c r="F143" s="189">
        <f>'Year 0 - Budget and Cash Flow'!R82</f>
        <v>0</v>
      </c>
      <c r="G143" s="181">
        <v>13500</v>
      </c>
      <c r="H143" s="181">
        <f t="shared" ref="H143:K143" si="20">G143*1.015</f>
        <v>13702.499999999998</v>
      </c>
      <c r="I143" s="181">
        <f t="shared" si="20"/>
        <v>13908.037499999997</v>
      </c>
      <c r="J143" s="181">
        <f t="shared" si="20"/>
        <v>14116.658062499995</v>
      </c>
      <c r="K143" s="181">
        <f t="shared" si="20"/>
        <v>14328.407933437493</v>
      </c>
      <c r="L143" s="40"/>
      <c r="M143" s="191"/>
      <c r="N143" s="178"/>
    </row>
    <row r="144" spans="1:14" ht="15.75" customHeight="1" x14ac:dyDescent="0.25">
      <c r="A144" s="173"/>
      <c r="B144" s="36"/>
      <c r="C144" s="234" t="s">
        <v>145</v>
      </c>
      <c r="D144" s="208"/>
      <c r="E144" s="40"/>
      <c r="F144" s="189">
        <f>'Year 0 - Budget and Cash Flow'!R83</f>
        <v>85000</v>
      </c>
      <c r="G144" s="201">
        <v>0</v>
      </c>
      <c r="H144" s="181">
        <v>20000</v>
      </c>
      <c r="I144" s="181">
        <v>20000</v>
      </c>
      <c r="J144" s="181">
        <v>20000</v>
      </c>
      <c r="K144" s="181">
        <v>20000</v>
      </c>
      <c r="L144" s="40"/>
      <c r="M144" s="191"/>
      <c r="N144" s="178"/>
    </row>
    <row r="145" spans="1:14" ht="15.75" customHeight="1" x14ac:dyDescent="0.25">
      <c r="A145" s="173"/>
      <c r="B145" s="36"/>
      <c r="C145" s="234" t="s">
        <v>146</v>
      </c>
      <c r="D145" s="208"/>
      <c r="E145" s="40"/>
      <c r="F145" s="189">
        <f>'Year 0 - Budget and Cash Flow'!R84</f>
        <v>0</v>
      </c>
      <c r="G145" s="181">
        <v>95000</v>
      </c>
      <c r="H145" s="181">
        <f t="shared" ref="H145:K145" si="21">G145*1.015</f>
        <v>96424.999999999985</v>
      </c>
      <c r="I145" s="181">
        <f t="shared" si="21"/>
        <v>97871.374999999971</v>
      </c>
      <c r="J145" s="181">
        <f t="shared" si="21"/>
        <v>99339.445624999964</v>
      </c>
      <c r="K145" s="181">
        <f t="shared" si="21"/>
        <v>100829.53730937495</v>
      </c>
      <c r="L145" s="40"/>
      <c r="M145" s="191"/>
      <c r="N145" s="178"/>
    </row>
    <row r="146" spans="1:14" ht="15.75" customHeight="1" x14ac:dyDescent="0.25">
      <c r="A146" s="173"/>
      <c r="B146" s="36"/>
      <c r="C146" s="234" t="s">
        <v>147</v>
      </c>
      <c r="D146" s="208"/>
      <c r="E146" s="40"/>
      <c r="F146" s="189">
        <f>'Year 0 - Budget and Cash Flow'!R85</f>
        <v>0</v>
      </c>
      <c r="G146" s="181">
        <v>9900</v>
      </c>
      <c r="H146" s="181">
        <f t="shared" ref="H146:K146" si="22">G146*1.015</f>
        <v>10048.499999999998</v>
      </c>
      <c r="I146" s="181">
        <f t="shared" si="22"/>
        <v>10199.227499999997</v>
      </c>
      <c r="J146" s="181">
        <f t="shared" si="22"/>
        <v>10352.215912499996</v>
      </c>
      <c r="K146" s="181">
        <f t="shared" si="22"/>
        <v>10507.499151187496</v>
      </c>
      <c r="L146" s="40"/>
      <c r="M146" s="191"/>
      <c r="N146" s="178"/>
    </row>
    <row r="147" spans="1:14" ht="15.75" customHeight="1" x14ac:dyDescent="0.25">
      <c r="A147" s="173"/>
      <c r="B147" s="36"/>
      <c r="C147" s="234" t="s">
        <v>148</v>
      </c>
      <c r="D147" s="208"/>
      <c r="E147" s="40"/>
      <c r="F147" s="189">
        <f>'Year 0 - Budget and Cash Flow'!R86</f>
        <v>0</v>
      </c>
      <c r="G147" s="181">
        <v>30000</v>
      </c>
      <c r="H147" s="181">
        <f t="shared" ref="H147:K147" si="23">G147*1.015</f>
        <v>30449.999999999996</v>
      </c>
      <c r="I147" s="181">
        <f t="shared" si="23"/>
        <v>30906.749999999993</v>
      </c>
      <c r="J147" s="181">
        <f t="shared" si="23"/>
        <v>31370.351249999989</v>
      </c>
      <c r="K147" s="181">
        <f t="shared" si="23"/>
        <v>31840.906518749987</v>
      </c>
      <c r="L147" s="40"/>
      <c r="M147" s="191"/>
      <c r="N147" s="178"/>
    </row>
    <row r="148" spans="1:14" ht="15.75" customHeight="1" x14ac:dyDescent="0.25">
      <c r="A148" s="173"/>
      <c r="B148" s="36"/>
      <c r="C148" s="234" t="s">
        <v>292</v>
      </c>
      <c r="D148" s="208"/>
      <c r="E148" s="40"/>
      <c r="F148" s="189">
        <f>'Year 0 - Budget and Cash Flow'!R87</f>
        <v>0</v>
      </c>
      <c r="G148" s="181">
        <v>5000</v>
      </c>
      <c r="H148" s="181">
        <f t="shared" ref="H148:K148" si="24">G148*1.015</f>
        <v>5074.9999999999991</v>
      </c>
      <c r="I148" s="181">
        <f t="shared" si="24"/>
        <v>5151.1249999999982</v>
      </c>
      <c r="J148" s="181">
        <f t="shared" si="24"/>
        <v>5228.3918749999975</v>
      </c>
      <c r="K148" s="181">
        <f t="shared" si="24"/>
        <v>5306.8177531249967</v>
      </c>
      <c r="L148" s="40"/>
      <c r="M148" s="191" t="s">
        <v>293</v>
      </c>
      <c r="N148" s="178"/>
    </row>
    <row r="149" spans="1:14" ht="15.75" customHeight="1" x14ac:dyDescent="0.25">
      <c r="A149" s="173"/>
      <c r="B149" s="36"/>
      <c r="C149" s="234" t="s">
        <v>150</v>
      </c>
      <c r="D149" s="208"/>
      <c r="E149" s="40"/>
      <c r="F149" s="189">
        <f>'Year 0 - Budget and Cash Flow'!R88</f>
        <v>0</v>
      </c>
      <c r="G149" s="181">
        <v>7200</v>
      </c>
      <c r="H149" s="181">
        <f t="shared" ref="H149:K149" si="25">G149*1.015</f>
        <v>7307.9999999999991</v>
      </c>
      <c r="I149" s="181">
        <f t="shared" si="25"/>
        <v>7417.6199999999981</v>
      </c>
      <c r="J149" s="181">
        <f t="shared" si="25"/>
        <v>7528.884299999997</v>
      </c>
      <c r="K149" s="181">
        <f t="shared" si="25"/>
        <v>7641.8175644999965</v>
      </c>
      <c r="L149" s="40"/>
      <c r="M149" s="191"/>
      <c r="N149" s="178"/>
    </row>
    <row r="150" spans="1:14" ht="15.75" customHeight="1" x14ac:dyDescent="0.25">
      <c r="A150" s="173"/>
      <c r="B150" s="36"/>
      <c r="C150" s="234" t="s">
        <v>151</v>
      </c>
      <c r="D150" s="208"/>
      <c r="E150" s="40"/>
      <c r="F150" s="189">
        <f>'Year 0 - Budget and Cash Flow'!R89</f>
        <v>0</v>
      </c>
      <c r="G150" s="181">
        <v>6000</v>
      </c>
      <c r="H150" s="181">
        <f t="shared" ref="H150:K150" si="26">G150*1.015</f>
        <v>6089.9999999999991</v>
      </c>
      <c r="I150" s="181">
        <f t="shared" si="26"/>
        <v>6181.3499999999985</v>
      </c>
      <c r="J150" s="181">
        <f t="shared" si="26"/>
        <v>6274.0702499999979</v>
      </c>
      <c r="K150" s="181">
        <f t="shared" si="26"/>
        <v>6368.1813037499969</v>
      </c>
      <c r="L150" s="40"/>
      <c r="M150" s="191"/>
      <c r="N150" s="178"/>
    </row>
    <row r="151" spans="1:14" ht="15.75" customHeight="1" x14ac:dyDescent="0.25">
      <c r="A151" s="173"/>
      <c r="B151" s="36"/>
      <c r="C151" s="234" t="s">
        <v>152</v>
      </c>
      <c r="D151" s="208"/>
      <c r="E151" s="40"/>
      <c r="F151" s="189">
        <f>'Year 0 - Budget and Cash Flow'!R90</f>
        <v>0</v>
      </c>
      <c r="G151" s="181">
        <v>15000</v>
      </c>
      <c r="H151" s="181">
        <f t="shared" ref="H151:K151" si="27">G151*1.015</f>
        <v>15224.999999999998</v>
      </c>
      <c r="I151" s="181">
        <f t="shared" si="27"/>
        <v>15453.374999999996</v>
      </c>
      <c r="J151" s="181">
        <f t="shared" si="27"/>
        <v>15685.175624999994</v>
      </c>
      <c r="K151" s="181">
        <f t="shared" si="27"/>
        <v>15920.453259374994</v>
      </c>
      <c r="L151" s="40"/>
      <c r="M151" s="192" t="s">
        <v>294</v>
      </c>
      <c r="N151" s="178"/>
    </row>
    <row r="152" spans="1:14" ht="15.75" customHeight="1" x14ac:dyDescent="0.25">
      <c r="A152" s="173"/>
      <c r="B152" s="36"/>
      <c r="C152" s="36"/>
      <c r="D152" s="40"/>
      <c r="E152" s="37"/>
      <c r="F152" s="68"/>
      <c r="G152" s="68"/>
      <c r="H152" s="68"/>
      <c r="I152" s="68"/>
      <c r="J152" s="68"/>
      <c r="K152" s="68"/>
      <c r="L152" s="37"/>
      <c r="M152" s="184"/>
      <c r="N152" s="178"/>
    </row>
    <row r="153" spans="1:14" ht="15.75" customHeight="1" x14ac:dyDescent="0.25">
      <c r="A153" s="173"/>
      <c r="B153" s="185"/>
      <c r="C153" s="236" t="s">
        <v>153</v>
      </c>
      <c r="D153" s="208"/>
      <c r="E153" s="186"/>
      <c r="F153" s="187">
        <f t="shared" ref="F153:K153" si="28">SUM(F136:F151)</f>
        <v>165000</v>
      </c>
      <c r="G153" s="187">
        <f t="shared" si="28"/>
        <v>596600</v>
      </c>
      <c r="H153" s="187">
        <f t="shared" si="28"/>
        <v>619324</v>
      </c>
      <c r="I153" s="187">
        <f t="shared" si="28"/>
        <v>692088.86</v>
      </c>
      <c r="J153" s="187">
        <f t="shared" si="28"/>
        <v>674895.19290000002</v>
      </c>
      <c r="K153" s="187">
        <f t="shared" si="28"/>
        <v>827743.62079349987</v>
      </c>
      <c r="L153" s="43"/>
      <c r="M153" s="184"/>
      <c r="N153" s="178"/>
    </row>
    <row r="154" spans="1:14" ht="15.75" customHeight="1" x14ac:dyDescent="0.25">
      <c r="A154" s="173"/>
      <c r="B154" s="36"/>
      <c r="C154" s="36"/>
      <c r="D154" s="40"/>
      <c r="E154" s="37"/>
      <c r="F154" s="37"/>
      <c r="G154" s="37"/>
      <c r="H154" s="37"/>
      <c r="I154" s="37"/>
      <c r="J154" s="37"/>
      <c r="K154" s="37"/>
      <c r="L154" s="37"/>
      <c r="M154" s="184"/>
      <c r="N154" s="178"/>
    </row>
    <row r="155" spans="1:14" ht="15.75" customHeight="1" x14ac:dyDescent="0.25">
      <c r="A155" s="173"/>
      <c r="B155" s="89"/>
      <c r="C155" s="237" t="s">
        <v>154</v>
      </c>
      <c r="D155" s="208"/>
      <c r="E155" s="43"/>
      <c r="F155" s="43"/>
      <c r="G155" s="177"/>
      <c r="H155" s="177"/>
      <c r="I155" s="177"/>
      <c r="J155" s="177"/>
      <c r="K155" s="68"/>
      <c r="L155" s="37"/>
      <c r="M155" s="7"/>
      <c r="N155" s="178"/>
    </row>
    <row r="156" spans="1:14" ht="15.75" customHeight="1" x14ac:dyDescent="0.25">
      <c r="A156" s="173"/>
      <c r="B156" s="36"/>
      <c r="C156" s="234" t="s">
        <v>295</v>
      </c>
      <c r="D156" s="208"/>
      <c r="E156" s="37"/>
      <c r="F156" s="69"/>
      <c r="G156" s="189">
        <f t="shared" ref="G156:K156" si="29">G12*0.03</f>
        <v>72891.662160783148</v>
      </c>
      <c r="H156" s="189">
        <f t="shared" si="29"/>
        <v>85027.348467339078</v>
      </c>
      <c r="I156" s="189">
        <f t="shared" si="29"/>
        <v>98022.691121463562</v>
      </c>
      <c r="J156" s="189">
        <f t="shared" si="29"/>
        <v>110680.92999961798</v>
      </c>
      <c r="K156" s="189">
        <f t="shared" si="29"/>
        <v>124225.97169325153</v>
      </c>
      <c r="L156" s="37"/>
      <c r="M156" s="254"/>
      <c r="N156" s="178"/>
    </row>
    <row r="157" spans="1:14" ht="15.75" customHeight="1" x14ac:dyDescent="0.25">
      <c r="A157" s="173"/>
      <c r="B157" s="36"/>
      <c r="C157" s="234" t="s">
        <v>296</v>
      </c>
      <c r="D157" s="208"/>
      <c r="E157" s="40"/>
      <c r="F157" s="189">
        <f>'Year 0 - Budget and Cash Flow'!R95</f>
        <v>0</v>
      </c>
      <c r="G157" s="181" t="s">
        <v>94</v>
      </c>
      <c r="H157" s="181" t="s">
        <v>94</v>
      </c>
      <c r="I157" s="181" t="s">
        <v>94</v>
      </c>
      <c r="J157" s="181" t="s">
        <v>94</v>
      </c>
      <c r="K157" s="181"/>
      <c r="L157" s="37"/>
      <c r="M157" s="255"/>
      <c r="N157" s="178"/>
    </row>
    <row r="158" spans="1:14" ht="15.75" customHeight="1" x14ac:dyDescent="0.25">
      <c r="A158" s="173"/>
      <c r="B158" s="36"/>
      <c r="C158" s="234" t="s">
        <v>156</v>
      </c>
      <c r="D158" s="208"/>
      <c r="E158" s="40"/>
      <c r="F158" s="189">
        <f>'Year 0 - Budget and Cash Flow'!R96</f>
        <v>0</v>
      </c>
      <c r="G158" s="181" t="s">
        <v>94</v>
      </c>
      <c r="H158" s="181" t="s">
        <v>94</v>
      </c>
      <c r="I158" s="181" t="s">
        <v>94</v>
      </c>
      <c r="J158" s="181" t="s">
        <v>94</v>
      </c>
      <c r="K158" s="181" t="s">
        <v>94</v>
      </c>
      <c r="L158" s="37"/>
      <c r="M158" s="255"/>
      <c r="N158" s="178"/>
    </row>
    <row r="159" spans="1:14" ht="15.75" customHeight="1" x14ac:dyDescent="0.25">
      <c r="A159" s="173"/>
      <c r="B159" s="36"/>
      <c r="C159" s="234" t="s">
        <v>297</v>
      </c>
      <c r="D159" s="208"/>
      <c r="E159" s="37"/>
      <c r="F159" s="69"/>
      <c r="G159" s="181">
        <v>10000</v>
      </c>
      <c r="H159" s="181">
        <v>10000</v>
      </c>
      <c r="I159" s="181">
        <v>10000</v>
      </c>
      <c r="J159" s="181">
        <v>0</v>
      </c>
      <c r="K159" s="181">
        <v>0</v>
      </c>
      <c r="L159" s="37"/>
      <c r="M159" s="255"/>
      <c r="N159" s="178"/>
    </row>
    <row r="160" spans="1:14" ht="15.75" customHeight="1" x14ac:dyDescent="0.25">
      <c r="A160" s="173"/>
      <c r="B160" s="36"/>
      <c r="C160" s="234" t="s">
        <v>298</v>
      </c>
      <c r="D160" s="208"/>
      <c r="E160" s="40"/>
      <c r="F160" s="189" t="s">
        <v>94</v>
      </c>
      <c r="G160" s="181">
        <v>60000</v>
      </c>
      <c r="H160" s="181">
        <v>10000</v>
      </c>
      <c r="I160" s="181">
        <v>10000</v>
      </c>
      <c r="J160" s="181">
        <v>10000</v>
      </c>
      <c r="K160" s="181">
        <v>10000</v>
      </c>
      <c r="L160" s="37"/>
      <c r="M160" s="228"/>
      <c r="N160" s="178"/>
    </row>
    <row r="161" spans="1:14" ht="15.75" customHeight="1" x14ac:dyDescent="0.25">
      <c r="A161" s="173"/>
      <c r="B161" s="36"/>
      <c r="C161" s="36"/>
      <c r="D161" s="40"/>
      <c r="E161" s="37"/>
      <c r="F161" s="68"/>
      <c r="G161" s="68"/>
      <c r="H161" s="68"/>
      <c r="I161" s="68"/>
      <c r="J161" s="68"/>
      <c r="K161" s="68"/>
      <c r="L161" s="37"/>
      <c r="M161" s="184"/>
      <c r="N161" s="178"/>
    </row>
    <row r="162" spans="1:14" ht="15.75" customHeight="1" x14ac:dyDescent="0.25">
      <c r="A162" s="173"/>
      <c r="B162" s="185"/>
      <c r="C162" s="236" t="s">
        <v>158</v>
      </c>
      <c r="D162" s="208"/>
      <c r="E162" s="186"/>
      <c r="F162" s="193">
        <f>SUM(F160,F158,F157)</f>
        <v>0</v>
      </c>
      <c r="G162" s="193">
        <f t="shared" ref="G162:K162" si="30">SUM(G156:G160)</f>
        <v>142891.66216078313</v>
      </c>
      <c r="H162" s="193">
        <f t="shared" si="30"/>
        <v>105027.34846733908</v>
      </c>
      <c r="I162" s="193">
        <f t="shared" si="30"/>
        <v>118022.69112146356</v>
      </c>
      <c r="J162" s="193">
        <f t="shared" si="30"/>
        <v>120680.92999961798</v>
      </c>
      <c r="K162" s="193">
        <f t="shared" si="30"/>
        <v>134225.97169325151</v>
      </c>
      <c r="L162" s="43"/>
      <c r="M162" s="184"/>
      <c r="N162" s="178"/>
    </row>
    <row r="163" spans="1:14" ht="15.75" customHeight="1" x14ac:dyDescent="0.25">
      <c r="A163" s="173"/>
      <c r="B163" s="2"/>
      <c r="C163" s="235"/>
      <c r="D163" s="226"/>
      <c r="E163" s="37"/>
      <c r="F163" s="68"/>
      <c r="G163" s="68"/>
      <c r="H163" s="68"/>
      <c r="I163" s="68"/>
      <c r="J163" s="68"/>
      <c r="K163" s="68"/>
      <c r="L163" s="37"/>
      <c r="M163" s="184"/>
      <c r="N163" s="178"/>
    </row>
    <row r="164" spans="1:14" ht="15.75" customHeight="1" x14ac:dyDescent="0.25">
      <c r="A164" s="173"/>
      <c r="B164" s="185"/>
      <c r="C164" s="236" t="s">
        <v>159</v>
      </c>
      <c r="D164" s="208"/>
      <c r="E164" s="186"/>
      <c r="F164" s="187">
        <f t="shared" ref="F164:K164" si="31">SUM(F162,F153,F133,F115,F109,F103,F91)</f>
        <v>300000</v>
      </c>
      <c r="G164" s="187">
        <f t="shared" si="31"/>
        <v>3319625.1621607831</v>
      </c>
      <c r="H164" s="187">
        <f t="shared" si="31"/>
        <v>3854750.2734673386</v>
      </c>
      <c r="I164" s="187">
        <f t="shared" si="31"/>
        <v>4394036.3496214636</v>
      </c>
      <c r="J164" s="187">
        <f t="shared" si="31"/>
        <v>4897943.6042221189</v>
      </c>
      <c r="K164" s="187">
        <f t="shared" si="31"/>
        <v>5435280.1867665276</v>
      </c>
      <c r="L164" s="100"/>
      <c r="M164" s="184"/>
      <c r="N164" s="178"/>
    </row>
    <row r="165" spans="1:14" ht="15.75" customHeight="1" x14ac:dyDescent="0.25">
      <c r="A165" s="173"/>
      <c r="B165" s="2"/>
      <c r="C165" s="235"/>
      <c r="D165" s="226"/>
      <c r="E165" s="37"/>
      <c r="F165" s="68"/>
      <c r="G165" s="68"/>
      <c r="H165" s="68"/>
      <c r="I165" s="68"/>
      <c r="J165" s="68"/>
      <c r="K165" s="68"/>
      <c r="L165" s="37"/>
      <c r="M165" s="184"/>
      <c r="N165" s="178"/>
    </row>
    <row r="166" spans="1:14" ht="15.75" customHeight="1" x14ac:dyDescent="0.25">
      <c r="A166" s="173"/>
      <c r="B166" s="185"/>
      <c r="C166" s="239" t="s">
        <v>160</v>
      </c>
      <c r="D166" s="240"/>
      <c r="E166" s="186"/>
      <c r="F166" s="193">
        <f t="shared" ref="F166:K166" si="32">F48-F164</f>
        <v>204000</v>
      </c>
      <c r="G166" s="193">
        <f t="shared" si="32"/>
        <v>29878.173865322024</v>
      </c>
      <c r="H166" s="193">
        <f t="shared" si="32"/>
        <v>5261.4158439640887</v>
      </c>
      <c r="I166" s="193">
        <f t="shared" si="32"/>
        <v>9600.6890422552824</v>
      </c>
      <c r="J166" s="193">
        <f t="shared" si="32"/>
        <v>31090.726101136766</v>
      </c>
      <c r="K166" s="193">
        <f t="shared" si="32"/>
        <v>53211.263832719065</v>
      </c>
      <c r="L166" s="43"/>
      <c r="M166" s="184"/>
      <c r="N166" s="178"/>
    </row>
    <row r="167" spans="1:14" ht="15.75" customHeight="1" x14ac:dyDescent="0.25">
      <c r="A167" s="42"/>
      <c r="B167" s="203"/>
      <c r="C167" s="204"/>
      <c r="D167" s="204"/>
      <c r="E167" s="204"/>
      <c r="F167" s="177"/>
      <c r="G167" s="177"/>
      <c r="H167" s="177"/>
      <c r="I167" s="177"/>
      <c r="J167" s="177"/>
      <c r="K167" s="177"/>
      <c r="L167" s="177"/>
      <c r="M167" s="198"/>
      <c r="N167" s="205"/>
    </row>
    <row r="168" spans="1:14" ht="15.75" customHeight="1" x14ac:dyDescent="0.2"/>
    <row r="169" spans="1:14" ht="15.75" customHeight="1" x14ac:dyDescent="0.25">
      <c r="B169" s="114"/>
      <c r="C169" s="114"/>
      <c r="D169" s="37"/>
      <c r="E169" s="37"/>
      <c r="F169" s="37"/>
      <c r="G169" s="37"/>
      <c r="H169" s="37"/>
      <c r="I169" s="37"/>
      <c r="J169" s="37"/>
      <c r="K169" s="37"/>
      <c r="L169" s="37"/>
      <c r="M169" s="37"/>
    </row>
    <row r="170" spans="1:14" ht="15.75" customHeight="1" x14ac:dyDescent="0.25">
      <c r="B170" s="37"/>
      <c r="C170" s="238"/>
      <c r="D170" s="213"/>
      <c r="E170" s="213"/>
      <c r="F170" s="213"/>
      <c r="G170" s="213"/>
      <c r="H170" s="213"/>
      <c r="I170" s="213"/>
      <c r="J170" s="213"/>
      <c r="K170" s="213"/>
      <c r="L170" s="213"/>
      <c r="M170" s="213"/>
    </row>
    <row r="171" spans="1:14" ht="15.75" customHeight="1" x14ac:dyDescent="0.25">
      <c r="B171" s="37"/>
      <c r="C171" s="238"/>
      <c r="D171" s="213"/>
      <c r="E171" s="213"/>
      <c r="F171" s="213"/>
      <c r="G171" s="213"/>
      <c r="H171" s="213"/>
      <c r="I171" s="213"/>
      <c r="J171" s="213"/>
      <c r="K171" s="213"/>
      <c r="L171" s="213"/>
      <c r="M171" s="213"/>
    </row>
    <row r="172" spans="1:14" ht="15.75" customHeight="1" x14ac:dyDescent="0.25">
      <c r="B172" s="37"/>
      <c r="C172" s="238"/>
      <c r="D172" s="213"/>
      <c r="E172" s="213"/>
      <c r="F172" s="213"/>
      <c r="G172" s="213"/>
      <c r="H172" s="213"/>
      <c r="I172" s="213"/>
      <c r="J172" s="213"/>
      <c r="K172" s="213"/>
      <c r="L172" s="213"/>
      <c r="M172" s="213"/>
    </row>
    <row r="173" spans="1:14" ht="15.75" customHeight="1" x14ac:dyDescent="0.25">
      <c r="B173" s="37"/>
      <c r="C173" s="238"/>
      <c r="D173" s="213"/>
      <c r="E173" s="213"/>
      <c r="F173" s="213"/>
      <c r="G173" s="213"/>
      <c r="H173" s="213"/>
      <c r="I173" s="213"/>
      <c r="J173" s="213"/>
      <c r="K173" s="213"/>
      <c r="L173" s="213"/>
      <c r="M173" s="213"/>
    </row>
    <row r="174" spans="1:14" ht="15.75" customHeight="1" x14ac:dyDescent="0.25">
      <c r="B174" s="37"/>
      <c r="C174" s="238"/>
      <c r="D174" s="213"/>
      <c r="E174" s="213"/>
      <c r="F174" s="213"/>
      <c r="G174" s="213"/>
      <c r="H174" s="213"/>
      <c r="I174" s="213"/>
      <c r="J174" s="213"/>
      <c r="K174" s="213"/>
      <c r="L174" s="213"/>
      <c r="M174" s="213"/>
    </row>
    <row r="175" spans="1:14" ht="15.75" customHeight="1" x14ac:dyDescent="0.25">
      <c r="B175" s="37"/>
      <c r="C175" s="238"/>
      <c r="D175" s="213"/>
      <c r="E175" s="213"/>
      <c r="F175" s="213"/>
      <c r="G175" s="213"/>
      <c r="H175" s="213"/>
      <c r="I175" s="213"/>
      <c r="J175" s="213"/>
      <c r="K175" s="213"/>
      <c r="L175" s="213"/>
      <c r="M175" s="213"/>
    </row>
    <row r="176" spans="1:14" ht="15.75" customHeight="1" x14ac:dyDescent="0.25">
      <c r="B176" s="37"/>
      <c r="C176" s="238"/>
      <c r="D176" s="213"/>
      <c r="E176" s="213"/>
      <c r="F176" s="213"/>
      <c r="G176" s="213"/>
      <c r="H176" s="213"/>
      <c r="I176" s="213"/>
      <c r="J176" s="213"/>
      <c r="K176" s="213"/>
      <c r="L176" s="213"/>
      <c r="M176" s="213"/>
    </row>
    <row r="177" spans="2:13" ht="15.75" customHeight="1" x14ac:dyDescent="0.25">
      <c r="B177" s="37"/>
      <c r="C177" s="238"/>
      <c r="D177" s="213"/>
      <c r="E177" s="213"/>
      <c r="F177" s="213"/>
      <c r="G177" s="213"/>
      <c r="H177" s="213"/>
      <c r="I177" s="213"/>
      <c r="J177" s="213"/>
      <c r="K177" s="213"/>
      <c r="L177" s="213"/>
      <c r="M177" s="213"/>
    </row>
    <row r="178" spans="2:13" ht="15.75" customHeight="1" x14ac:dyDescent="0.2"/>
    <row r="179" spans="2:13" ht="15.75" customHeight="1" x14ac:dyDescent="0.2"/>
    <row r="180" spans="2:13" ht="15.75" customHeight="1" x14ac:dyDescent="0.2"/>
    <row r="181" spans="2:13" ht="15.75" customHeight="1" x14ac:dyDescent="0.2"/>
    <row r="182" spans="2:13" ht="15.75" customHeight="1" x14ac:dyDescent="0.2"/>
    <row r="183" spans="2:13" ht="15.75" customHeight="1" x14ac:dyDescent="0.2"/>
    <row r="184" spans="2:13" ht="15.75" customHeight="1" x14ac:dyDescent="0.2"/>
    <row r="185" spans="2:13" ht="15.75" customHeight="1" x14ac:dyDescent="0.2"/>
    <row r="186" spans="2:13" ht="15.75" customHeight="1" x14ac:dyDescent="0.2"/>
    <row r="187" spans="2:13" ht="15.75" customHeight="1" x14ac:dyDescent="0.2"/>
    <row r="188" spans="2:13" ht="15.75" customHeight="1" x14ac:dyDescent="0.2"/>
    <row r="189" spans="2:13" ht="15.75" customHeight="1" x14ac:dyDescent="0.2"/>
    <row r="190" spans="2:13" ht="15.75" customHeight="1" x14ac:dyDescent="0.2"/>
    <row r="191" spans="2:13" ht="15.75" customHeight="1" x14ac:dyDescent="0.2"/>
    <row r="192" spans="2:13"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2">
    <mergeCell ref="C81:D81"/>
    <mergeCell ref="C83:D83"/>
    <mergeCell ref="C84:D84"/>
    <mergeCell ref="C93:D93"/>
    <mergeCell ref="C94:D94"/>
    <mergeCell ref="C95:D95"/>
    <mergeCell ref="C96:D96"/>
    <mergeCell ref="C97:D97"/>
    <mergeCell ref="C98:D98"/>
    <mergeCell ref="C70:D70"/>
    <mergeCell ref="C71:D71"/>
    <mergeCell ref="C72:D72"/>
    <mergeCell ref="C73:D73"/>
    <mergeCell ref="C74:D74"/>
    <mergeCell ref="C75:D75"/>
    <mergeCell ref="C76:D76"/>
    <mergeCell ref="C77:D77"/>
    <mergeCell ref="C79:D79"/>
    <mergeCell ref="C58:D58"/>
    <mergeCell ref="C60:D60"/>
    <mergeCell ref="C61:D61"/>
    <mergeCell ref="C62:D62"/>
    <mergeCell ref="C63:D63"/>
    <mergeCell ref="C64:D64"/>
    <mergeCell ref="C66:D66"/>
    <mergeCell ref="C68:D68"/>
    <mergeCell ref="C69:D69"/>
    <mergeCell ref="C172:M172"/>
    <mergeCell ref="C173:M173"/>
    <mergeCell ref="C174:M174"/>
    <mergeCell ref="C175:M175"/>
    <mergeCell ref="C176:M176"/>
    <mergeCell ref="C177:M177"/>
    <mergeCell ref="C162:D162"/>
    <mergeCell ref="C163:D163"/>
    <mergeCell ref="C164:D164"/>
    <mergeCell ref="C165:D165"/>
    <mergeCell ref="C166:D166"/>
    <mergeCell ref="C170:M170"/>
    <mergeCell ref="C171:M171"/>
    <mergeCell ref="C156:D156"/>
    <mergeCell ref="M156:M160"/>
    <mergeCell ref="C157:D157"/>
    <mergeCell ref="C158:D158"/>
    <mergeCell ref="C159:D159"/>
    <mergeCell ref="C160:D160"/>
    <mergeCell ref="C146:D146"/>
    <mergeCell ref="C147:D147"/>
    <mergeCell ref="C148:D148"/>
    <mergeCell ref="C149:D149"/>
    <mergeCell ref="C150:D150"/>
    <mergeCell ref="C151:D151"/>
    <mergeCell ref="C153:D153"/>
    <mergeCell ref="C130:D130"/>
    <mergeCell ref="C131:D131"/>
    <mergeCell ref="C133:D133"/>
    <mergeCell ref="C135:D135"/>
    <mergeCell ref="C136:D136"/>
    <mergeCell ref="C137:D137"/>
    <mergeCell ref="C144:D144"/>
    <mergeCell ref="C145:D145"/>
    <mergeCell ref="C155:D155"/>
    <mergeCell ref="C121:D121"/>
    <mergeCell ref="C122:D122"/>
    <mergeCell ref="C123:D123"/>
    <mergeCell ref="C124:D124"/>
    <mergeCell ref="C125:D125"/>
    <mergeCell ref="C126:D126"/>
    <mergeCell ref="C127:D127"/>
    <mergeCell ref="C128:D128"/>
    <mergeCell ref="C129:D129"/>
    <mergeCell ref="G93:K93"/>
    <mergeCell ref="C107:D107"/>
    <mergeCell ref="C109:D109"/>
    <mergeCell ref="C113:D113"/>
    <mergeCell ref="C115:D115"/>
    <mergeCell ref="C117:D117"/>
    <mergeCell ref="C118:D118"/>
    <mergeCell ref="C119:D119"/>
    <mergeCell ref="C120:D120"/>
    <mergeCell ref="C99:D99"/>
    <mergeCell ref="C100:D100"/>
    <mergeCell ref="C101:D101"/>
    <mergeCell ref="C103:D103"/>
    <mergeCell ref="C105:D105"/>
    <mergeCell ref="C106:D106"/>
    <mergeCell ref="C111:D111"/>
    <mergeCell ref="C112:D112"/>
    <mergeCell ref="M106:M109"/>
    <mergeCell ref="M112:M115"/>
    <mergeCell ref="C2:M2"/>
    <mergeCell ref="C8:D9"/>
    <mergeCell ref="F8:F9"/>
    <mergeCell ref="G8:G9"/>
    <mergeCell ref="H8:H9"/>
    <mergeCell ref="I8:I9"/>
    <mergeCell ref="J8:J9"/>
    <mergeCell ref="C11:D11"/>
    <mergeCell ref="C12:D12"/>
    <mergeCell ref="C13:D13"/>
    <mergeCell ref="C14:D14"/>
    <mergeCell ref="C15:D15"/>
    <mergeCell ref="C16:D16"/>
    <mergeCell ref="C17:D17"/>
    <mergeCell ref="C25:D25"/>
    <mergeCell ref="C26:D26"/>
    <mergeCell ref="C27:D27"/>
    <mergeCell ref="G27:K27"/>
    <mergeCell ref="C18:D18"/>
    <mergeCell ref="C19:D19"/>
    <mergeCell ref="C20:D20"/>
    <mergeCell ref="C21:D21"/>
    <mergeCell ref="C54:D54"/>
    <mergeCell ref="C55:D55"/>
    <mergeCell ref="C56:D56"/>
    <mergeCell ref="C85:D85"/>
    <mergeCell ref="C86:D86"/>
    <mergeCell ref="K8:K9"/>
    <mergeCell ref="M8:M9"/>
    <mergeCell ref="M12:M23"/>
    <mergeCell ref="M28:M35"/>
    <mergeCell ref="M40:M44"/>
    <mergeCell ref="M84:M91"/>
    <mergeCell ref="C22:D22"/>
    <mergeCell ref="C23:D23"/>
    <mergeCell ref="C24:D24"/>
    <mergeCell ref="C87:D87"/>
    <mergeCell ref="C89:D89"/>
    <mergeCell ref="C91:D91"/>
    <mergeCell ref="C35:D35"/>
    <mergeCell ref="C36:D36"/>
    <mergeCell ref="C37:D37"/>
    <mergeCell ref="C38:D38"/>
    <mergeCell ref="C39:D39"/>
    <mergeCell ref="C40:D40"/>
    <mergeCell ref="C41:D41"/>
    <mergeCell ref="C28:D28"/>
    <mergeCell ref="C29:D29"/>
    <mergeCell ref="C30:D30"/>
    <mergeCell ref="C31:D31"/>
    <mergeCell ref="C32:D32"/>
    <mergeCell ref="C33:D33"/>
    <mergeCell ref="C34:D34"/>
    <mergeCell ref="C50:D51"/>
    <mergeCell ref="C53:D53"/>
    <mergeCell ref="C42:D42"/>
    <mergeCell ref="C43:D43"/>
    <mergeCell ref="C44:D44"/>
    <mergeCell ref="C45:D45"/>
    <mergeCell ref="C46:D46"/>
    <mergeCell ref="C47:D47"/>
    <mergeCell ref="C48:D48"/>
  </mergeCells>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State Funding Assumptions</vt:lpstr>
      <vt:lpstr>Enrollment Projections</vt:lpstr>
      <vt:lpstr>Year 0 - Budget and Cash Flow</vt:lpstr>
      <vt:lpstr>StaffingPlan</vt:lpstr>
      <vt:lpstr>5 Year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Bessinger, Elizabeth A.</dc:creator>
  <cp:lastModifiedBy>Bessinger, Elizabeth A.</cp:lastModifiedBy>
  <dcterms:created xsi:type="dcterms:W3CDTF">2022-09-29T18:41:01Z</dcterms:created>
  <dcterms:modified xsi:type="dcterms:W3CDTF">2022-09-29T18:41:01Z</dcterms:modified>
</cp:coreProperties>
</file>